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Writing\"/>
    </mc:Choice>
  </mc:AlternateContent>
  <bookViews>
    <workbookView xWindow="0" yWindow="0" windowWidth="16815" windowHeight="7155"/>
  </bookViews>
  <sheets>
    <sheet name="Sheet1" sheetId="1" r:id="rId1"/>
  </sheet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49" i="1" l="1"/>
  <c r="F250" i="1"/>
  <c r="F251" i="1"/>
  <c r="F252" i="1"/>
  <c r="F253" i="1"/>
  <c r="F254" i="1"/>
  <c r="F255" i="1"/>
  <c r="F256" i="1"/>
  <c r="F257" i="1"/>
  <c r="F248" i="1"/>
  <c r="E244" i="1" l="1"/>
  <c r="D245" i="1"/>
  <c r="E212" i="1"/>
  <c r="G212" i="1" s="1"/>
  <c r="E213" i="1"/>
  <c r="G213" i="1" s="1"/>
  <c r="E214" i="1"/>
  <c r="G214" i="1" s="1"/>
  <c r="E215" i="1"/>
  <c r="G215" i="1" s="1"/>
  <c r="E216" i="1"/>
  <c r="G216" i="1" s="1"/>
  <c r="E217" i="1"/>
  <c r="G217" i="1" s="1"/>
  <c r="E218" i="1"/>
  <c r="G218" i="1" s="1"/>
  <c r="E219" i="1"/>
  <c r="G219" i="1" s="1"/>
  <c r="E220" i="1"/>
  <c r="G220" i="1" s="1"/>
  <c r="E211" i="1"/>
  <c r="G211" i="1" s="1"/>
  <c r="D220" i="1"/>
  <c r="H220" i="1" s="1"/>
  <c r="D219" i="1"/>
  <c r="H219" i="1" s="1"/>
  <c r="D218" i="1"/>
  <c r="H218" i="1" s="1"/>
  <c r="D217" i="1"/>
  <c r="H217" i="1" s="1"/>
  <c r="D216" i="1"/>
  <c r="H216" i="1" s="1"/>
  <c r="D215" i="1"/>
  <c r="H215" i="1" s="1"/>
  <c r="D214" i="1"/>
  <c r="H214" i="1" s="1"/>
  <c r="D213" i="1"/>
  <c r="H213" i="1" s="1"/>
  <c r="D212" i="1"/>
  <c r="H212" i="1" s="1"/>
  <c r="D211" i="1"/>
  <c r="H211" i="1"/>
  <c r="D207" i="1"/>
  <c r="E196" i="1"/>
  <c r="F196" i="1" s="1"/>
  <c r="E195" i="1"/>
  <c r="F195" i="1" s="1"/>
  <c r="E194" i="1"/>
  <c r="F194" i="1" s="1"/>
  <c r="C190" i="1"/>
  <c r="I177" i="1"/>
  <c r="H178" i="1"/>
  <c r="H177" i="1"/>
  <c r="H171" i="1"/>
  <c r="H170" i="1"/>
  <c r="I170" i="1"/>
  <c r="I176" i="1"/>
  <c r="I175" i="1"/>
  <c r="I169" i="1"/>
  <c r="I168" i="1"/>
  <c r="F150" i="1"/>
  <c r="F162" i="1" s="1"/>
  <c r="F148" i="1"/>
  <c r="F158" i="1" s="1"/>
  <c r="D129" i="1"/>
  <c r="E135" i="1"/>
  <c r="E139" i="1" s="1"/>
  <c r="F120" i="1"/>
  <c r="F119" i="1"/>
  <c r="C88" i="1"/>
  <c r="E89" i="1"/>
  <c r="E90" i="1"/>
  <c r="E91" i="1"/>
  <c r="E92" i="1"/>
  <c r="E93" i="1"/>
  <c r="E88" i="1"/>
  <c r="D89" i="1"/>
  <c r="D90" i="1"/>
  <c r="D91" i="1"/>
  <c r="D92" i="1"/>
  <c r="D93" i="1"/>
  <c r="D88" i="1"/>
  <c r="C89" i="1"/>
  <c r="C90" i="1"/>
  <c r="C91" i="1"/>
  <c r="C92" i="1"/>
  <c r="C93" i="1"/>
  <c r="E80" i="1"/>
  <c r="E81" i="1"/>
  <c r="F197" i="1" l="1"/>
  <c r="I178" i="1"/>
  <c r="I171" i="1"/>
  <c r="D60" i="1"/>
  <c r="D59" i="1"/>
  <c r="D52" i="1"/>
  <c r="D51" i="1"/>
  <c r="D50" i="1"/>
  <c r="D43" i="1"/>
  <c r="D34" i="1"/>
  <c r="F21" i="1"/>
  <c r="F25" i="1" s="1"/>
  <c r="F14" i="1"/>
  <c r="F16" i="1" s="1"/>
  <c r="D61" i="1" s="1"/>
  <c r="D58" i="1" l="1"/>
  <c r="D48" i="1"/>
  <c r="D49" i="1"/>
  <c r="D53" i="1"/>
  <c r="D57" i="1"/>
  <c r="D35" i="1"/>
  <c r="D36" i="1" s="1"/>
  <c r="D55" i="1" l="1"/>
  <c r="D54" i="1"/>
  <c r="D56" i="1"/>
</calcChain>
</file>

<file path=xl/sharedStrings.xml><?xml version="1.0" encoding="utf-8"?>
<sst xmlns="http://schemas.openxmlformats.org/spreadsheetml/2006/main" count="182" uniqueCount="131">
  <si>
    <t>(3-14) Comprehensive Ratio analysis</t>
  </si>
  <si>
    <t>The Jimenez Corporation’s forecasted 2017 financial statements follow, along with some industry average ratios. Calculate Jimenez’s 2017 forecasted ratios, compare them with the</t>
  </si>
  <si>
    <t>industry average data, and comment briefly on Jimenez’s projected strengths and weaknesses</t>
  </si>
  <si>
    <t>Jimenez Corporation: Forecasted Balance Sheet as of December 31, 2017</t>
  </si>
  <si>
    <t>Assets</t>
  </si>
  <si>
    <t>Liabilities and Equity</t>
  </si>
  <si>
    <t>Accounts receivable</t>
  </si>
  <si>
    <t>CASH</t>
  </si>
  <si>
    <t>Inventories</t>
  </si>
  <si>
    <t>Total current assets</t>
  </si>
  <si>
    <t>Fixed assets</t>
  </si>
  <si>
    <t>Total assets</t>
  </si>
  <si>
    <t>Accounts payable</t>
  </si>
  <si>
    <t xml:space="preserve">Notes payable </t>
  </si>
  <si>
    <t xml:space="preserve">Total liabilities and equity </t>
  </si>
  <si>
    <t>Retained earnings</t>
  </si>
  <si>
    <t>Common stock</t>
  </si>
  <si>
    <t>Long-term debt</t>
  </si>
  <si>
    <t xml:space="preserve">Total current liabilities </t>
  </si>
  <si>
    <t xml:space="preserve">Accruals </t>
  </si>
  <si>
    <t>Amount</t>
  </si>
  <si>
    <t>Amount ($)</t>
  </si>
  <si>
    <t>CHAPTER 3</t>
  </si>
  <si>
    <t xml:space="preserve">Problem 3-14 Page 131 </t>
  </si>
  <si>
    <t>Jimenez Corporation: Forecasted Income Statement for 2017</t>
  </si>
  <si>
    <t>Sales $4,290,000</t>
  </si>
  <si>
    <t>Selling, general, and administrative expenses 370,320</t>
  </si>
  <si>
    <t>Jimenez Corporation: Per Share Data for 2017</t>
  </si>
  <si>
    <t xml:space="preserve">Sales </t>
  </si>
  <si>
    <t>Cost of goods sold (excluding depreciation)</t>
  </si>
  <si>
    <t xml:space="preserve">Selling, general, and administrative expenses </t>
  </si>
  <si>
    <t>Depreciation</t>
  </si>
  <si>
    <t>Earnings before taxes (EBT)</t>
  </si>
  <si>
    <t xml:space="preserve">Taxes (40%) </t>
  </si>
  <si>
    <t xml:space="preserve">Net income </t>
  </si>
  <si>
    <t xml:space="preserve">EPS </t>
  </si>
  <si>
    <t xml:space="preserve">Cash dividends per share </t>
  </si>
  <si>
    <t xml:space="preserve">P/E ratio </t>
  </si>
  <si>
    <t>Market price (average)</t>
  </si>
  <si>
    <t xml:space="preserve">Number of shares outstanding </t>
  </si>
  <si>
    <t xml:space="preserve">Quick ratio </t>
  </si>
  <si>
    <t xml:space="preserve">Current ratio </t>
  </si>
  <si>
    <t xml:space="preserve">Inventory turnovera </t>
  </si>
  <si>
    <t>Days sales outstanding</t>
  </si>
  <si>
    <t xml:space="preserve">Total assets turnovera </t>
  </si>
  <si>
    <t xml:space="preserve">Market/Book ratio </t>
  </si>
  <si>
    <t xml:space="preserve">Price/Cash flow ratio </t>
  </si>
  <si>
    <t xml:space="preserve">Liabilities-to-assets ratio </t>
  </si>
  <si>
    <t xml:space="preserve">Debt-to-assets ratio </t>
  </si>
  <si>
    <t xml:space="preserve">Profit margin on sales </t>
  </si>
  <si>
    <t xml:space="preserve">Return on equity </t>
  </si>
  <si>
    <t xml:space="preserve">Return on assets </t>
  </si>
  <si>
    <t xml:space="preserve">Fixed assets turnovera </t>
  </si>
  <si>
    <t>Comment</t>
  </si>
  <si>
    <t xml:space="preserve"> According to the availabl data, it is clear that Jimenez Corporation is not headed to the right direction. The company is continually depending to debt to pay their bills according to liabilities to assest ratio.</t>
  </si>
  <si>
    <t>decrease in ratios such asquick, current, inventory turnover among others proves howw bad the company will have gone in the next year. The company should  improve the ways of production and efective management is also advisable.</t>
  </si>
  <si>
    <t>the share market is not badly of but also stands a chance to be checked into before it gets to worse</t>
  </si>
  <si>
    <t xml:space="preserve">                    FORECASTED Industry Ratios</t>
  </si>
  <si>
    <t>CHAPTER 4</t>
  </si>
  <si>
    <t>Mini Case Page 189</t>
  </si>
  <si>
    <t>Build a Model: Time Value of money</t>
  </si>
  <si>
    <t>Inputs:</t>
  </si>
  <si>
    <t>PV  =</t>
  </si>
  <si>
    <t>I/YR  =</t>
  </si>
  <si>
    <t>N  =</t>
  </si>
  <si>
    <t>Formula:</t>
  </si>
  <si>
    <t>FV = PV(1+I)^N =</t>
  </si>
  <si>
    <t>Wizard (FV):</t>
  </si>
  <si>
    <t>a. Find the FV of $1,000 invested to earn 10% annually 5 years from now. Answer this question first by using a math formula and then by using the Excel function wizard.</t>
  </si>
  <si>
    <t>Start with the partial model in the file Ch04 P35 Build a Model.xlsx from the textbook’s Web site. Answer the following questions, using the spreadsheet model to do the calculations.</t>
  </si>
  <si>
    <t>b. Now create a table that shows the FV at 0%, 5%, and 20% for 0, 1, 2, 3, 4, and 5 years. Then create a graph with years on the horizontal axis and FV on the vertical axis to display your results.</t>
  </si>
  <si>
    <t>Years</t>
  </si>
  <si>
    <t xml:space="preserve">Interest Rate </t>
  </si>
  <si>
    <t>The face value-years graph</t>
  </si>
  <si>
    <t>c. Find the PV of $1,000 due in 5 years if the discount rate is 10% per year. Again, first work the problem with a formula and then by using the function wizard.</t>
  </si>
  <si>
    <t>FV  =</t>
  </si>
  <si>
    <t>I/YR   =</t>
  </si>
  <si>
    <t>PV = FV/(1+I)^N =</t>
  </si>
  <si>
    <t>Wizard (PV):</t>
  </si>
  <si>
    <t>d. A security has a cost of $1,000 and will return $2,000 after 5 years. What rate of return does the security provide?</t>
  </si>
  <si>
    <t>PV   =</t>
  </si>
  <si>
    <t>FV   =</t>
  </si>
  <si>
    <t>?</t>
  </si>
  <si>
    <t>Wizard (Rate):</t>
  </si>
  <si>
    <t>e. Suppose California’s population is 30 million people and its population is expected to grow by 2% per year. How long would it take for the population to double?</t>
  </si>
  <si>
    <t>I/YR   =  growth rate</t>
  </si>
  <si>
    <t>Wizard (NPER):</t>
  </si>
  <si>
    <t xml:space="preserve">    = Years to double.</t>
  </si>
  <si>
    <t>f. Find the PV of an ordinary annuity that pays $1,000 at the end of each of the next 5 years if the interest rate is 15%. Then find the FV of that same annuity.</t>
  </si>
  <si>
    <t>PMT =</t>
  </si>
  <si>
    <t>N =</t>
  </si>
  <si>
    <t xml:space="preserve"> I/YR  =</t>
  </si>
  <si>
    <t>PV:   wizard function (PV)</t>
  </si>
  <si>
    <t>FV:  wizard  function(FV)</t>
  </si>
  <si>
    <t>g. How would the PV and FV of the above annuity change if it were an annuity due rather than an ordinary annuity?</t>
  </si>
  <si>
    <t xml:space="preserve">Both PV and FV would increase as they could have been received an earlier and the time of discountin  would also be a year less. </t>
  </si>
  <si>
    <t>To prove this claim the following is vital</t>
  </si>
  <si>
    <t>PV annuity due  =</t>
  </si>
  <si>
    <t>x</t>
  </si>
  <si>
    <t>FV annuity due  =</t>
  </si>
  <si>
    <t>wizard value</t>
  </si>
  <si>
    <t>(1+15%)   =</t>
  </si>
  <si>
    <t>we make use of (1+ interest rate)* fv annuity for the case of fv</t>
  </si>
  <si>
    <t>we make use of (1+ interest rate)* pv annuity for the case of pv</t>
  </si>
  <si>
    <t>h. What would the FV and PV for parts a and c be if the interest rate were 10% with semiannual compounding rather than 10% with annual compounding?</t>
  </si>
  <si>
    <t>Orig. Inputs</t>
  </si>
  <si>
    <t>New Inputs</t>
  </si>
  <si>
    <t xml:space="preserve">     a.  FV with semiannual compounding:</t>
  </si>
  <si>
    <t xml:space="preserve">    c.  PV with semiannual compounding:</t>
  </si>
  <si>
    <t>i. Find the PV and FV of an investment that makes the following end-of-year payments. The interest rate is 8%.</t>
  </si>
  <si>
    <t>Year</t>
  </si>
  <si>
    <t>Payment</t>
  </si>
  <si>
    <t>Rate   =</t>
  </si>
  <si>
    <t>j. Suppose you bought a house and took out a mortgage for $50,000. The interest rate is 8%, and you must amortize the loan over 10 years with equal end-of-year payments. Set up an amortization schedule that shows the annual payments and the amount of each payment that repays the principal and the amount that constitutes interest expense to the borrower and interest income to the lender.</t>
  </si>
  <si>
    <t>1. Create a graph that shows how the payments are divided between interest and principal repayment over time.</t>
  </si>
  <si>
    <t>(1 + I )^(N-t)</t>
  </si>
  <si>
    <t>FV</t>
  </si>
  <si>
    <t xml:space="preserve">There is no funtion in excel for FV. The best way is to sum up for every year. </t>
  </si>
  <si>
    <t>Original amount of mortgage:</t>
  </si>
  <si>
    <t>Term of mortgage:</t>
  </si>
  <si>
    <t>Interest rate:</t>
  </si>
  <si>
    <t>Annual amount</t>
  </si>
  <si>
    <t>Pmt</t>
  </si>
  <si>
    <t>Interest</t>
  </si>
  <si>
    <t>beginning amount</t>
  </si>
  <si>
    <t>Ending balance</t>
  </si>
  <si>
    <t>MONTHLY PAYMENT</t>
  </si>
  <si>
    <t>PRINCIPLE</t>
  </si>
  <si>
    <t>New rate</t>
  </si>
  <si>
    <t>number of months</t>
  </si>
  <si>
    <t>(2)  Suppose the loan called for 10 years of monthly payments, 120 payments in all, with  the same original amount and the same nominal interest rate.  What would the  amortization schedule show now?</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</si>
</sst>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 formatCode="&quot;$&quot;#,##0.00_);[Red]\(&quot;$&quot;#,##0.00\)"/>
    <numFmt numFmtId="42" formatCode="_(&quot;$&quot;* #,##0_);_(&quot;$&quot;* \(#,##0\);_(&quot;$&quot;* &quot;-&quot;_);_(@_)"/>
    <numFmt numFmtId="44" formatCode="_(&quot;$&quot;* #,##0.00_);_(&quot;$&quot;* \(#,##0.00\);_(&quot;$&quot;* &quot;-&quot;??_);_(@_)"/>
    <numFmt numFmtId="164" formatCode="&quot;$&quot;#,##0.00"/>
    <numFmt numFmtId="165" formatCode="&quot;$&quot;#,##0"/>
    <numFmt numFmtId="166" formatCode="0.0"/>
    <numFmt numFmtId="167" formatCode="0.0%"/>
    <numFmt numFmtId="168" formatCode="0.0000%"/>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rgb="FF222222"/>
      <name val="Times New Roman"/>
      <family val="1"/>
    </font>
    <font>
      <sz val="10"/>
      <name val="Arial"/>
      <family val="2"/>
    </font>
    <font>
      <sz val="10"/>
      <color theme="1"/>
      <name val="Arial"/>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3" fillId="0" borderId="0" xfId="0" applyFont="1"/>
    <xf numFmtId="0" fontId="0" fillId="0" borderId="0" xfId="0" applyAlignment="1">
      <alignment horizontal="center"/>
    </xf>
    <xf numFmtId="0" fontId="2" fillId="0" borderId="0" xfId="0" applyFont="1"/>
    <xf numFmtId="0" fontId="4" fillId="0" borderId="0" xfId="0" applyFont="1"/>
    <xf numFmtId="0" fontId="0" fillId="0" borderId="0" xfId="0" applyAlignment="1"/>
    <xf numFmtId="0" fontId="2" fillId="0" borderId="0" xfId="0" applyFont="1" applyAlignment="1"/>
    <xf numFmtId="165" fontId="0" fillId="0" borderId="0" xfId="0" applyNumberFormat="1"/>
    <xf numFmtId="165" fontId="0" fillId="0" borderId="0" xfId="1" applyNumberFormat="1" applyFont="1" applyAlignment="1"/>
    <xf numFmtId="0" fontId="0" fillId="2" borderId="0" xfId="0" applyFill="1"/>
    <xf numFmtId="0" fontId="5" fillId="0" borderId="0" xfId="0" applyFont="1"/>
    <xf numFmtId="8" fontId="0" fillId="0" borderId="0" xfId="0" applyNumberFormat="1"/>
    <xf numFmtId="0" fontId="2" fillId="0" borderId="0" xfId="0" applyFont="1" applyAlignment="1">
      <alignment vertical="center"/>
    </xf>
    <xf numFmtId="8" fontId="0" fillId="2" borderId="0" xfId="0" applyNumberFormat="1" applyFill="1"/>
    <xf numFmtId="164" fontId="0" fillId="2" borderId="0" xfId="1" applyNumberFormat="1" applyFont="1" applyFill="1"/>
    <xf numFmtId="0" fontId="6" fillId="0" borderId="0" xfId="0" applyFont="1"/>
    <xf numFmtId="9" fontId="0" fillId="0" borderId="0" xfId="2" applyFont="1"/>
    <xf numFmtId="1" fontId="0" fillId="2" borderId="0" xfId="0" applyNumberFormat="1" applyFill="1"/>
    <xf numFmtId="167" fontId="0" fillId="2" borderId="0" xfId="0" applyNumberFormat="1" applyFill="1"/>
    <xf numFmtId="0" fontId="6" fillId="0" borderId="1" xfId="0" applyFont="1" applyBorder="1" applyAlignment="1">
      <alignment horizontal="right"/>
    </xf>
    <xf numFmtId="0" fontId="7" fillId="0" borderId="0" xfId="0" applyFont="1"/>
    <xf numFmtId="9" fontId="7" fillId="0" borderId="0" xfId="2" applyFont="1"/>
    <xf numFmtId="44" fontId="6" fillId="2" borderId="0" xfId="1" applyFont="1" applyFill="1"/>
    <xf numFmtId="164" fontId="6" fillId="2" borderId="0" xfId="1" applyNumberFormat="1" applyFont="1" applyFill="1"/>
    <xf numFmtId="44" fontId="6" fillId="2" borderId="0" xfId="0" applyNumberFormat="1" applyFont="1" applyFill="1"/>
    <xf numFmtId="8" fontId="0" fillId="0" borderId="0" xfId="0" applyNumberFormat="1" applyFill="1"/>
    <xf numFmtId="2" fontId="0" fillId="0" borderId="0" xfId="0" applyNumberFormat="1"/>
    <xf numFmtId="168" fontId="0" fillId="2" borderId="0" xfId="2" applyNumberFormat="1" applyFont="1" applyFill="1"/>
    <xf numFmtId="0" fontId="0" fillId="0" borderId="0" xfId="0" applyAlignment="1">
      <alignment horizontal="center"/>
    </xf>
    <xf numFmtId="166" fontId="0" fillId="0" borderId="0" xfId="0" applyNumberFormat="1" applyAlignment="1">
      <alignment horizontal="center"/>
    </xf>
    <xf numFmtId="0" fontId="2" fillId="0" borderId="0" xfId="0" applyFont="1" applyAlignment="1">
      <alignment horizontal="center"/>
    </xf>
    <xf numFmtId="0" fontId="2" fillId="0" borderId="0" xfId="0" applyFont="1" applyAlignment="1">
      <alignment horizontal="left"/>
    </xf>
    <xf numFmtId="167" fontId="0" fillId="0" borderId="0" xfId="0" applyNumberFormat="1" applyAlignment="1">
      <alignment horizontal="center"/>
    </xf>
    <xf numFmtId="44" fontId="0" fillId="0" borderId="0" xfId="1" applyFont="1" applyAlignment="1">
      <alignment horizontal="center"/>
    </xf>
    <xf numFmtId="165" fontId="0" fillId="0" borderId="0" xfId="0" applyNumberFormat="1" applyAlignment="1">
      <alignment horizontal="center"/>
    </xf>
    <xf numFmtId="165" fontId="0" fillId="0" borderId="0" xfId="1" applyNumberFormat="1" applyFont="1" applyAlignment="1">
      <alignment horizontal="center"/>
    </xf>
    <xf numFmtId="42" fontId="0" fillId="0" borderId="0" xfId="1" applyNumberFormat="1" applyFont="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Face value graph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0%</c:v>
          </c:tx>
          <c:spPr>
            <a:solidFill>
              <a:schemeClr val="accent1"/>
            </a:solidFill>
            <a:ln>
              <a:noFill/>
            </a:ln>
            <a:effectLst/>
          </c:spPr>
          <c:invertIfNegative val="0"/>
          <c:cat>
            <c:numRef>
              <c:f>Sheet1!$B$88:$B$93</c:f>
              <c:numCache>
                <c:formatCode>General</c:formatCode>
                <c:ptCount val="6"/>
                <c:pt idx="0">
                  <c:v>0</c:v>
                </c:pt>
                <c:pt idx="1">
                  <c:v>1</c:v>
                </c:pt>
                <c:pt idx="2">
                  <c:v>2</c:v>
                </c:pt>
                <c:pt idx="3">
                  <c:v>3</c:v>
                </c:pt>
                <c:pt idx="4">
                  <c:v>4</c:v>
                </c:pt>
                <c:pt idx="5">
                  <c:v>5</c:v>
                </c:pt>
              </c:numCache>
            </c:numRef>
          </c:cat>
          <c:val>
            <c:numRef>
              <c:f>Sheet1!$C$88:$C$93</c:f>
              <c:numCache>
                <c:formatCode>General</c:formatCode>
                <c:ptCount val="6"/>
                <c:pt idx="0">
                  <c:v>1000</c:v>
                </c:pt>
                <c:pt idx="1">
                  <c:v>1000</c:v>
                </c:pt>
                <c:pt idx="2">
                  <c:v>1000</c:v>
                </c:pt>
                <c:pt idx="3">
                  <c:v>1000</c:v>
                </c:pt>
                <c:pt idx="4">
                  <c:v>1000</c:v>
                </c:pt>
                <c:pt idx="5">
                  <c:v>1000</c:v>
                </c:pt>
              </c:numCache>
            </c:numRef>
          </c:val>
        </c:ser>
        <c:ser>
          <c:idx val="1"/>
          <c:order val="1"/>
          <c:tx>
            <c:v>5%</c:v>
          </c:tx>
          <c:spPr>
            <a:solidFill>
              <a:schemeClr val="accent2"/>
            </a:solidFill>
            <a:ln>
              <a:noFill/>
            </a:ln>
            <a:effectLst/>
          </c:spPr>
          <c:invertIfNegative val="0"/>
          <c:cat>
            <c:numRef>
              <c:f>Sheet1!$B$88:$B$93</c:f>
              <c:numCache>
                <c:formatCode>General</c:formatCode>
                <c:ptCount val="6"/>
                <c:pt idx="0">
                  <c:v>0</c:v>
                </c:pt>
                <c:pt idx="1">
                  <c:v>1</c:v>
                </c:pt>
                <c:pt idx="2">
                  <c:v>2</c:v>
                </c:pt>
                <c:pt idx="3">
                  <c:v>3</c:v>
                </c:pt>
                <c:pt idx="4">
                  <c:v>4</c:v>
                </c:pt>
                <c:pt idx="5">
                  <c:v>5</c:v>
                </c:pt>
              </c:numCache>
            </c:numRef>
          </c:cat>
          <c:val>
            <c:numRef>
              <c:f>Sheet1!$D$88:$D$93</c:f>
              <c:numCache>
                <c:formatCode>General</c:formatCode>
                <c:ptCount val="6"/>
                <c:pt idx="0">
                  <c:v>1000</c:v>
                </c:pt>
                <c:pt idx="1">
                  <c:v>1050</c:v>
                </c:pt>
                <c:pt idx="2">
                  <c:v>1102.5</c:v>
                </c:pt>
                <c:pt idx="3">
                  <c:v>1157.6250000000002</c:v>
                </c:pt>
                <c:pt idx="4">
                  <c:v>1215.5062499999999</c:v>
                </c:pt>
                <c:pt idx="5">
                  <c:v>1276.2815625000001</c:v>
                </c:pt>
              </c:numCache>
            </c:numRef>
          </c:val>
        </c:ser>
        <c:ser>
          <c:idx val="2"/>
          <c:order val="2"/>
          <c:tx>
            <c:v>20%</c:v>
          </c:tx>
          <c:spPr>
            <a:solidFill>
              <a:schemeClr val="accent3"/>
            </a:solidFill>
            <a:ln>
              <a:noFill/>
            </a:ln>
            <a:effectLst/>
          </c:spPr>
          <c:invertIfNegative val="0"/>
          <c:cat>
            <c:numRef>
              <c:f>Sheet1!$B$88:$B$93</c:f>
              <c:numCache>
                <c:formatCode>General</c:formatCode>
                <c:ptCount val="6"/>
                <c:pt idx="0">
                  <c:v>0</c:v>
                </c:pt>
                <c:pt idx="1">
                  <c:v>1</c:v>
                </c:pt>
                <c:pt idx="2">
                  <c:v>2</c:v>
                </c:pt>
                <c:pt idx="3">
                  <c:v>3</c:v>
                </c:pt>
                <c:pt idx="4">
                  <c:v>4</c:v>
                </c:pt>
                <c:pt idx="5">
                  <c:v>5</c:v>
                </c:pt>
              </c:numCache>
            </c:numRef>
          </c:cat>
          <c:val>
            <c:numRef>
              <c:f>Sheet1!$E$88:$E$93</c:f>
              <c:numCache>
                <c:formatCode>General</c:formatCode>
                <c:ptCount val="6"/>
                <c:pt idx="0">
                  <c:v>1000</c:v>
                </c:pt>
                <c:pt idx="1">
                  <c:v>1200</c:v>
                </c:pt>
                <c:pt idx="2">
                  <c:v>1440</c:v>
                </c:pt>
                <c:pt idx="3">
                  <c:v>1728</c:v>
                </c:pt>
                <c:pt idx="4">
                  <c:v>2073.6</c:v>
                </c:pt>
                <c:pt idx="5">
                  <c:v>2488.3199999999997</c:v>
                </c:pt>
              </c:numCache>
            </c:numRef>
          </c:val>
        </c:ser>
        <c:dLbls>
          <c:showLegendKey val="0"/>
          <c:showVal val="0"/>
          <c:showCatName val="0"/>
          <c:showSerName val="0"/>
          <c:showPercent val="0"/>
          <c:showBubbleSize val="0"/>
        </c:dLbls>
        <c:gapWidth val="219"/>
        <c:overlap val="-27"/>
        <c:axId val="324727552"/>
        <c:axId val="324731080"/>
      </c:barChart>
      <c:catAx>
        <c:axId val="324727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4731080"/>
        <c:crosses val="autoZero"/>
        <c:auto val="1"/>
        <c:lblAlgn val="ctr"/>
        <c:lblOffset val="100"/>
        <c:noMultiLvlLbl val="0"/>
      </c:catAx>
      <c:valAx>
        <c:axId val="324731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472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GRAPH OF PRINCIPLE AGAINST INTEREST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Sheet1!$E$210</c:f>
              <c:strCache>
                <c:ptCount val="1"/>
                <c:pt idx="0">
                  <c:v>Interest</c:v>
                </c:pt>
              </c:strCache>
            </c:strRef>
          </c:tx>
          <c:spPr>
            <a:solidFill>
              <a:schemeClr val="accent1"/>
            </a:solidFill>
            <a:ln>
              <a:noFill/>
            </a:ln>
            <a:effectLst/>
          </c:spPr>
          <c:invertIfNegative val="0"/>
          <c:val>
            <c:numRef>
              <c:f>Sheet1!$E$211:$E$220</c:f>
              <c:numCache>
                <c:formatCode>General</c:formatCode>
                <c:ptCount val="10"/>
                <c:pt idx="0">
                  <c:v>4000</c:v>
                </c:pt>
                <c:pt idx="1">
                  <c:v>3403.8820452116984</c:v>
                </c:pt>
                <c:pt idx="2">
                  <c:v>2896.6032444286434</c:v>
                </c:pt>
                <c:pt idx="3">
                  <c:v>2464.923943953153</c:v>
                </c:pt>
                <c:pt idx="4">
                  <c:v>2097.5775889086358</c:v>
                </c:pt>
                <c:pt idx="5">
                  <c:v>1784.9766733311376</c:v>
                </c:pt>
                <c:pt idx="6">
                  <c:v>1518.9625123683916</c:v>
                </c:pt>
                <c:pt idx="7">
                  <c:v>1292.5923058001051</c:v>
                </c:pt>
                <c:pt idx="8">
                  <c:v>1099.9579353729418</c:v>
                </c:pt>
                <c:pt idx="9">
                  <c:v>936.03176667602156</c:v>
                </c:pt>
              </c:numCache>
            </c:numRef>
          </c:val>
        </c:ser>
        <c:ser>
          <c:idx val="1"/>
          <c:order val="1"/>
          <c:tx>
            <c:strRef>
              <c:f>Sheet1!$G$210</c:f>
              <c:strCache>
                <c:ptCount val="1"/>
                <c:pt idx="0">
                  <c:v>PRINCIPLE</c:v>
                </c:pt>
              </c:strCache>
            </c:strRef>
          </c:tx>
          <c:spPr>
            <a:solidFill>
              <a:schemeClr val="accent2"/>
            </a:solidFill>
            <a:ln>
              <a:noFill/>
            </a:ln>
            <a:effectLst/>
          </c:spPr>
          <c:invertIfNegative val="0"/>
          <c:val>
            <c:numRef>
              <c:f>Sheet1!$G$211:$G$220</c:f>
              <c:numCache>
                <c:formatCode>General</c:formatCode>
                <c:ptCount val="10"/>
                <c:pt idx="0">
                  <c:v>3583.33</c:v>
                </c:pt>
                <c:pt idx="1">
                  <c:v>2987.2120452116983</c:v>
                </c:pt>
                <c:pt idx="2">
                  <c:v>2479.9332444286433</c:v>
                </c:pt>
                <c:pt idx="3">
                  <c:v>2048.2539439531529</c:v>
                </c:pt>
                <c:pt idx="4">
                  <c:v>1680.9075889086357</c:v>
                </c:pt>
                <c:pt idx="5">
                  <c:v>1368.3066733311375</c:v>
                </c:pt>
                <c:pt idx="6">
                  <c:v>1102.2925123683915</c:v>
                </c:pt>
                <c:pt idx="7">
                  <c:v>875.92230580010505</c:v>
                </c:pt>
                <c:pt idx="8">
                  <c:v>683.28793537294177</c:v>
                </c:pt>
                <c:pt idx="9">
                  <c:v>519.36176667602149</c:v>
                </c:pt>
              </c:numCache>
            </c:numRef>
          </c:val>
        </c:ser>
        <c:dLbls>
          <c:showLegendKey val="0"/>
          <c:showVal val="0"/>
          <c:showCatName val="0"/>
          <c:showSerName val="0"/>
          <c:showPercent val="0"/>
          <c:showBubbleSize val="0"/>
        </c:dLbls>
        <c:gapWidth val="150"/>
        <c:overlap val="100"/>
        <c:axId val="324727944"/>
        <c:axId val="324732648"/>
      </c:barChart>
      <c:catAx>
        <c:axId val="324727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4732648"/>
        <c:crosses val="autoZero"/>
        <c:auto val="1"/>
        <c:lblAlgn val="ctr"/>
        <c:lblOffset val="100"/>
        <c:noMultiLvlLbl val="0"/>
      </c:catAx>
      <c:valAx>
        <c:axId val="3247326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47279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557893</xdr:colOff>
      <xdr:row>96</xdr:row>
      <xdr:rowOff>23132</xdr:rowOff>
    </xdr:from>
    <xdr:to>
      <xdr:col>8</xdr:col>
      <xdr:colOff>557893</xdr:colOff>
      <xdr:row>110</xdr:row>
      <xdr:rowOff>99332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217715</xdr:colOff>
      <xdr:row>224</xdr:row>
      <xdr:rowOff>77560</xdr:rowOff>
    </xdr:from>
    <xdr:to>
      <xdr:col>7</xdr:col>
      <xdr:colOff>449036</xdr:colOff>
      <xdr:row>238</xdr:row>
      <xdr:rowOff>153760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7"/>
  <sheetViews>
    <sheetView tabSelected="1" topLeftCell="A227" zoomScale="70" zoomScaleNormal="70" workbookViewId="0">
      <selection activeCell="J249" sqref="J249"/>
    </sheetView>
  </sheetViews>
  <sheetFormatPr defaultRowHeight="15" x14ac:dyDescent="0.25"/>
  <cols>
    <col min="4" max="4" width="12" bestFit="1" customWidth="1"/>
    <col min="5" max="5" width="10.5703125" bestFit="1" customWidth="1"/>
    <col min="6" max="6" width="12" bestFit="1" customWidth="1"/>
    <col min="7" max="7" width="12" customWidth="1"/>
    <col min="8" max="8" width="12.140625" bestFit="1" customWidth="1"/>
    <col min="9" max="9" width="13.42578125" bestFit="1" customWidth="1"/>
  </cols>
  <sheetData>
    <row r="1" spans="1:8" ht="18.75" x14ac:dyDescent="0.3">
      <c r="B1" s="4" t="s">
        <v>22</v>
      </c>
      <c r="C1" s="4"/>
      <c r="D1" s="4"/>
    </row>
    <row r="2" spans="1:8" ht="18.75" x14ac:dyDescent="0.3">
      <c r="B2" s="4" t="s">
        <v>23</v>
      </c>
      <c r="C2" s="4"/>
      <c r="D2" s="4"/>
    </row>
    <row r="3" spans="1:8" ht="21" x14ac:dyDescent="0.35">
      <c r="A3" s="1" t="s">
        <v>0</v>
      </c>
    </row>
    <row r="5" spans="1:8" x14ac:dyDescent="0.25">
      <c r="A5" t="s">
        <v>1</v>
      </c>
    </row>
    <row r="6" spans="1:8" x14ac:dyDescent="0.25">
      <c r="A6" t="s">
        <v>2</v>
      </c>
    </row>
    <row r="8" spans="1:8" x14ac:dyDescent="0.25">
      <c r="B8" t="s">
        <v>3</v>
      </c>
    </row>
    <row r="10" spans="1:8" x14ac:dyDescent="0.25">
      <c r="C10" s="30" t="s">
        <v>4</v>
      </c>
      <c r="D10" s="30"/>
      <c r="E10" s="30"/>
      <c r="F10" s="30" t="s">
        <v>21</v>
      </c>
      <c r="G10" s="30"/>
      <c r="H10" s="30" t="s">
        <v>20</v>
      </c>
    </row>
    <row r="11" spans="1:8" x14ac:dyDescent="0.25">
      <c r="C11" s="28" t="s">
        <v>7</v>
      </c>
      <c r="D11" s="28"/>
      <c r="E11" s="28"/>
      <c r="F11" s="36">
        <v>72000</v>
      </c>
      <c r="G11" s="36"/>
      <c r="H11" s="36"/>
    </row>
    <row r="12" spans="1:8" x14ac:dyDescent="0.25">
      <c r="C12" s="28" t="s">
        <v>6</v>
      </c>
      <c r="D12" s="28"/>
      <c r="E12" s="28"/>
      <c r="F12" s="36">
        <v>439000</v>
      </c>
      <c r="G12" s="36"/>
      <c r="H12" s="36"/>
    </row>
    <row r="13" spans="1:8" x14ac:dyDescent="0.25">
      <c r="C13" s="28" t="s">
        <v>8</v>
      </c>
      <c r="D13" s="28"/>
      <c r="E13" s="28"/>
      <c r="F13" s="36">
        <v>894000</v>
      </c>
      <c r="G13" s="36"/>
      <c r="H13" s="36"/>
    </row>
    <row r="14" spans="1:8" x14ac:dyDescent="0.25">
      <c r="C14" s="28" t="s">
        <v>9</v>
      </c>
      <c r="D14" s="28"/>
      <c r="E14" s="28"/>
      <c r="F14" s="36">
        <f>SUM(F11:H13)</f>
        <v>1405000</v>
      </c>
      <c r="G14" s="36"/>
      <c r="H14" s="36"/>
    </row>
    <row r="15" spans="1:8" x14ac:dyDescent="0.25">
      <c r="C15" s="28" t="s">
        <v>10</v>
      </c>
      <c r="D15" s="28"/>
      <c r="E15" s="28"/>
      <c r="F15" s="36">
        <v>431000</v>
      </c>
      <c r="G15" s="36"/>
      <c r="H15" s="36"/>
    </row>
    <row r="16" spans="1:8" x14ac:dyDescent="0.25">
      <c r="C16" s="28" t="s">
        <v>11</v>
      </c>
      <c r="D16" s="28"/>
      <c r="E16" s="28"/>
      <c r="F16" s="36">
        <f>SUM(F14:H15)</f>
        <v>1836000</v>
      </c>
      <c r="G16" s="36"/>
      <c r="H16" s="36"/>
    </row>
    <row r="17" spans="1:12" x14ac:dyDescent="0.25">
      <c r="C17" s="30" t="s">
        <v>5</v>
      </c>
      <c r="D17" s="30"/>
      <c r="E17" s="30"/>
      <c r="F17" s="36"/>
      <c r="G17" s="36"/>
      <c r="H17" s="36"/>
    </row>
    <row r="18" spans="1:12" x14ac:dyDescent="0.25">
      <c r="C18" s="28" t="s">
        <v>12</v>
      </c>
      <c r="D18" s="28"/>
      <c r="E18" s="28"/>
      <c r="F18" s="36">
        <v>332000</v>
      </c>
      <c r="G18" s="36"/>
      <c r="H18" s="36"/>
    </row>
    <row r="19" spans="1:12" x14ac:dyDescent="0.25">
      <c r="C19" s="28" t="s">
        <v>13</v>
      </c>
      <c r="D19" s="28"/>
      <c r="E19" s="28"/>
      <c r="F19" s="36">
        <v>100000</v>
      </c>
      <c r="G19" s="36"/>
      <c r="H19" s="36"/>
    </row>
    <row r="20" spans="1:12" x14ac:dyDescent="0.25">
      <c r="C20" s="28" t="s">
        <v>19</v>
      </c>
      <c r="D20" s="28"/>
      <c r="E20" s="28"/>
      <c r="F20" s="36">
        <v>170000</v>
      </c>
      <c r="G20" s="36"/>
      <c r="H20" s="36"/>
    </row>
    <row r="21" spans="1:12" x14ac:dyDescent="0.25">
      <c r="C21" s="30" t="s">
        <v>18</v>
      </c>
      <c r="D21" s="30"/>
      <c r="E21" s="30"/>
      <c r="F21" s="36">
        <f>SUM(F18:H20)</f>
        <v>602000</v>
      </c>
      <c r="G21" s="36"/>
      <c r="H21" s="36"/>
    </row>
    <row r="22" spans="1:12" x14ac:dyDescent="0.25">
      <c r="C22" s="28" t="s">
        <v>17</v>
      </c>
      <c r="D22" s="28"/>
      <c r="E22" s="28"/>
      <c r="F22" s="36">
        <v>404290</v>
      </c>
      <c r="G22" s="36"/>
      <c r="H22" s="36"/>
    </row>
    <row r="23" spans="1:12" x14ac:dyDescent="0.25">
      <c r="C23" s="28" t="s">
        <v>16</v>
      </c>
      <c r="D23" s="28"/>
      <c r="E23" s="28"/>
      <c r="F23" s="36">
        <v>575000</v>
      </c>
      <c r="G23" s="36"/>
      <c r="H23" s="36"/>
    </row>
    <row r="24" spans="1:12" x14ac:dyDescent="0.25">
      <c r="C24" s="28" t="s">
        <v>15</v>
      </c>
      <c r="D24" s="28"/>
      <c r="E24" s="28"/>
      <c r="F24" s="36">
        <v>254710</v>
      </c>
      <c r="G24" s="36"/>
      <c r="H24" s="36"/>
    </row>
    <row r="25" spans="1:12" x14ac:dyDescent="0.25">
      <c r="C25" s="30" t="s">
        <v>14</v>
      </c>
      <c r="D25" s="30"/>
      <c r="E25" s="30"/>
      <c r="F25" s="36">
        <f>SUM(F21:H24)</f>
        <v>1836000</v>
      </c>
      <c r="G25" s="36"/>
      <c r="H25" s="36"/>
    </row>
    <row r="26" spans="1:12" x14ac:dyDescent="0.25">
      <c r="H26" s="28"/>
      <c r="I26" s="28"/>
      <c r="J26" s="28"/>
    </row>
    <row r="27" spans="1:12" x14ac:dyDescent="0.25">
      <c r="H27" s="28"/>
      <c r="I27" s="28"/>
      <c r="J27" s="28"/>
    </row>
    <row r="28" spans="1:12" x14ac:dyDescent="0.25">
      <c r="A28" s="3" t="s">
        <v>24</v>
      </c>
      <c r="B28" s="3"/>
      <c r="C28" s="3"/>
      <c r="D28" s="3"/>
      <c r="E28" s="3"/>
      <c r="F28" s="3"/>
      <c r="G28" s="3"/>
      <c r="H28" s="6"/>
      <c r="I28" s="6"/>
      <c r="J28" s="6"/>
      <c r="K28" s="3"/>
      <c r="L28" s="3"/>
    </row>
    <row r="29" spans="1:12" x14ac:dyDescent="0.25">
      <c r="D29" s="28" t="s">
        <v>20</v>
      </c>
      <c r="E29" s="28"/>
      <c r="H29" s="5"/>
      <c r="I29" s="5"/>
      <c r="J29" s="5"/>
    </row>
    <row r="30" spans="1:12" x14ac:dyDescent="0.25">
      <c r="A30" s="28" t="s">
        <v>28</v>
      </c>
      <c r="B30" s="28" t="s">
        <v>25</v>
      </c>
      <c r="C30" s="28" t="s">
        <v>25</v>
      </c>
      <c r="D30" s="34">
        <v>4290000</v>
      </c>
      <c r="E30" s="34"/>
    </row>
    <row r="31" spans="1:12" x14ac:dyDescent="0.25">
      <c r="A31" s="28" t="s">
        <v>29</v>
      </c>
      <c r="B31" s="28" t="s">
        <v>29</v>
      </c>
      <c r="C31" s="28" t="s">
        <v>29</v>
      </c>
      <c r="D31" s="35">
        <v>3580000</v>
      </c>
      <c r="E31" s="35"/>
      <c r="F31" s="7"/>
      <c r="G31" s="7"/>
    </row>
    <row r="32" spans="1:12" x14ac:dyDescent="0.25">
      <c r="A32" s="28" t="s">
        <v>30</v>
      </c>
      <c r="B32" s="28" t="s">
        <v>26</v>
      </c>
      <c r="C32" s="28" t="s">
        <v>26</v>
      </c>
      <c r="D32" s="35">
        <v>370320</v>
      </c>
      <c r="E32" s="35"/>
    </row>
    <row r="33" spans="1:12" x14ac:dyDescent="0.25">
      <c r="A33" s="28" t="s">
        <v>31</v>
      </c>
      <c r="B33" s="28"/>
      <c r="C33" s="28"/>
      <c r="D33" s="35">
        <v>159000</v>
      </c>
      <c r="E33" s="35"/>
      <c r="H33" s="7"/>
    </row>
    <row r="34" spans="1:12" x14ac:dyDescent="0.25">
      <c r="A34" s="28" t="s">
        <v>32</v>
      </c>
      <c r="B34" s="28"/>
      <c r="C34" s="28"/>
      <c r="D34" s="35">
        <f>D30-(SUM(D31:E33))</f>
        <v>180680</v>
      </c>
      <c r="E34" s="35"/>
      <c r="F34" s="7"/>
      <c r="G34" s="7"/>
    </row>
    <row r="35" spans="1:12" x14ac:dyDescent="0.25">
      <c r="A35" s="28" t="s">
        <v>33</v>
      </c>
      <c r="B35" s="28"/>
      <c r="C35" s="28"/>
      <c r="D35" s="35">
        <f>D34*40%</f>
        <v>72272</v>
      </c>
      <c r="E35" s="35"/>
    </row>
    <row r="36" spans="1:12" x14ac:dyDescent="0.25">
      <c r="A36" s="28" t="s">
        <v>34</v>
      </c>
      <c r="B36" s="28"/>
      <c r="C36" s="28"/>
      <c r="D36" s="35">
        <f>D34-D35</f>
        <v>108408</v>
      </c>
      <c r="E36" s="35"/>
    </row>
    <row r="37" spans="1:12" x14ac:dyDescent="0.25">
      <c r="A37" s="28"/>
      <c r="B37" s="28"/>
      <c r="C37" s="28"/>
      <c r="D37" s="35"/>
      <c r="E37" s="35"/>
    </row>
    <row r="38" spans="1:12" x14ac:dyDescent="0.25">
      <c r="H38" s="5"/>
      <c r="I38" s="5"/>
      <c r="J38" s="5"/>
      <c r="K38" s="35"/>
      <c r="L38" s="35"/>
    </row>
    <row r="39" spans="1:12" x14ac:dyDescent="0.25">
      <c r="A39" s="3" t="s">
        <v>27</v>
      </c>
      <c r="B39" s="3"/>
      <c r="C39" s="3"/>
      <c r="D39" s="3"/>
      <c r="E39" s="3"/>
      <c r="H39" s="5"/>
      <c r="I39" s="5"/>
      <c r="J39" s="5"/>
      <c r="K39" s="35"/>
      <c r="L39" s="35"/>
    </row>
    <row r="40" spans="1:12" x14ac:dyDescent="0.25">
      <c r="H40" s="8"/>
      <c r="I40" s="8"/>
    </row>
    <row r="41" spans="1:12" x14ac:dyDescent="0.25">
      <c r="A41" s="28" t="s">
        <v>35</v>
      </c>
      <c r="B41" s="28"/>
      <c r="C41" s="28"/>
      <c r="D41" s="33">
        <v>4.71</v>
      </c>
      <c r="E41" s="33"/>
      <c r="H41" s="8"/>
      <c r="I41" s="8"/>
    </row>
    <row r="42" spans="1:12" x14ac:dyDescent="0.25">
      <c r="A42" s="28" t="s">
        <v>36</v>
      </c>
      <c r="B42" s="28"/>
      <c r="C42" s="28"/>
      <c r="D42" s="33">
        <v>0.95</v>
      </c>
      <c r="E42" s="33"/>
      <c r="H42" s="8"/>
      <c r="I42" s="8"/>
    </row>
    <row r="43" spans="1:12" x14ac:dyDescent="0.25">
      <c r="A43" s="28" t="s">
        <v>37</v>
      </c>
      <c r="B43" s="28"/>
      <c r="C43" s="28"/>
      <c r="D43" s="29">
        <f>D41/D42</f>
        <v>4.9578947368421051</v>
      </c>
      <c r="E43" s="29"/>
      <c r="H43" s="8"/>
      <c r="I43" s="8"/>
    </row>
    <row r="44" spans="1:12" x14ac:dyDescent="0.25">
      <c r="A44" s="28" t="s">
        <v>38</v>
      </c>
      <c r="B44" s="28"/>
      <c r="C44" s="28"/>
      <c r="D44" s="33">
        <v>23.57</v>
      </c>
      <c r="E44" s="33"/>
      <c r="H44" s="8"/>
      <c r="I44" s="8"/>
    </row>
    <row r="45" spans="1:12" x14ac:dyDescent="0.25">
      <c r="A45" s="28" t="s">
        <v>39</v>
      </c>
      <c r="B45" s="28"/>
      <c r="C45" s="28"/>
      <c r="D45" s="28">
        <v>230000</v>
      </c>
      <c r="E45" s="28"/>
      <c r="H45" s="8"/>
      <c r="I45" s="8"/>
    </row>
    <row r="46" spans="1:12" x14ac:dyDescent="0.25">
      <c r="A46" s="2"/>
      <c r="B46" s="2"/>
      <c r="C46" s="2"/>
      <c r="D46" s="2"/>
      <c r="E46" s="2"/>
      <c r="H46" s="8"/>
      <c r="I46" s="8"/>
    </row>
    <row r="47" spans="1:12" x14ac:dyDescent="0.25">
      <c r="A47" s="31" t="s">
        <v>57</v>
      </c>
      <c r="B47" s="31"/>
      <c r="C47" s="31"/>
      <c r="D47" s="31"/>
      <c r="E47" s="31"/>
      <c r="F47" s="31"/>
      <c r="G47" s="31"/>
      <c r="H47" s="31"/>
      <c r="I47" s="8"/>
    </row>
    <row r="48" spans="1:12" x14ac:dyDescent="0.25">
      <c r="A48" s="28" t="s">
        <v>40</v>
      </c>
      <c r="B48" s="28"/>
      <c r="C48" s="28"/>
      <c r="D48" s="29">
        <f>(F14-F13)/F21</f>
        <v>0.84883720930232553</v>
      </c>
      <c r="E48" s="29"/>
      <c r="H48" s="8"/>
      <c r="I48" s="8"/>
    </row>
    <row r="49" spans="1:12" x14ac:dyDescent="0.25">
      <c r="A49" s="28" t="s">
        <v>41</v>
      </c>
      <c r="B49" s="28"/>
      <c r="C49" s="28"/>
      <c r="D49" s="29">
        <f>F14/F21</f>
        <v>2.3338870431893688</v>
      </c>
      <c r="E49" s="29"/>
      <c r="H49" s="8"/>
      <c r="I49" s="8"/>
    </row>
    <row r="50" spans="1:12" x14ac:dyDescent="0.25">
      <c r="A50" s="28" t="s">
        <v>42</v>
      </c>
      <c r="B50" s="28"/>
      <c r="C50" s="28"/>
      <c r="D50" s="29">
        <f>D31/F13</f>
        <v>4.0044742729306488</v>
      </c>
      <c r="E50" s="29"/>
      <c r="H50" s="8"/>
      <c r="I50" s="8"/>
    </row>
    <row r="51" spans="1:12" x14ac:dyDescent="0.25">
      <c r="A51" s="28" t="s">
        <v>43</v>
      </c>
      <c r="B51" s="28"/>
      <c r="C51" s="28"/>
      <c r="D51" s="29">
        <f>(F12/(D30/365))</f>
        <v>37.350815850815856</v>
      </c>
      <c r="E51" s="29"/>
      <c r="H51" s="8"/>
      <c r="I51" s="8"/>
      <c r="J51" s="30"/>
      <c r="K51" s="30"/>
      <c r="L51" s="30"/>
    </row>
    <row r="52" spans="1:12" x14ac:dyDescent="0.25">
      <c r="A52" s="28" t="s">
        <v>52</v>
      </c>
      <c r="B52" s="28"/>
      <c r="C52" s="28"/>
      <c r="D52" s="29">
        <f>D30/F15</f>
        <v>9.9535962877030162</v>
      </c>
      <c r="E52" s="29"/>
      <c r="H52" s="8"/>
      <c r="I52" s="8"/>
    </row>
    <row r="53" spans="1:12" x14ac:dyDescent="0.25">
      <c r="A53" s="28" t="s">
        <v>44</v>
      </c>
      <c r="B53" s="28"/>
      <c r="C53" s="28"/>
      <c r="D53" s="29">
        <f>D30/F16</f>
        <v>2.3366013071895426</v>
      </c>
      <c r="E53" s="29"/>
      <c r="H53" s="8"/>
      <c r="I53" s="8"/>
    </row>
    <row r="54" spans="1:12" x14ac:dyDescent="0.25">
      <c r="A54" s="28" t="s">
        <v>51</v>
      </c>
      <c r="B54" s="28"/>
      <c r="C54" s="28"/>
      <c r="D54" s="32">
        <f>D36/F16</f>
        <v>5.9045751633986926E-2</v>
      </c>
      <c r="E54" s="32"/>
      <c r="H54" s="8"/>
      <c r="I54" s="8"/>
    </row>
    <row r="55" spans="1:12" x14ac:dyDescent="0.25">
      <c r="A55" s="28" t="s">
        <v>50</v>
      </c>
      <c r="B55" s="28"/>
      <c r="C55" s="28"/>
      <c r="D55" s="32">
        <f>D36/(F23+F24)</f>
        <v>0.13065769967820082</v>
      </c>
      <c r="E55" s="32"/>
      <c r="H55" s="8"/>
      <c r="I55" s="8"/>
    </row>
    <row r="56" spans="1:12" x14ac:dyDescent="0.25">
      <c r="A56" s="28" t="s">
        <v>49</v>
      </c>
      <c r="B56" s="28"/>
      <c r="C56" s="28"/>
      <c r="D56" s="32">
        <f>D36/D30</f>
        <v>2.5269930069930072E-2</v>
      </c>
      <c r="E56" s="32"/>
      <c r="H56" s="8"/>
      <c r="I56" s="8"/>
    </row>
    <row r="57" spans="1:12" x14ac:dyDescent="0.25">
      <c r="A57" s="28" t="s">
        <v>48</v>
      </c>
      <c r="B57" s="28"/>
      <c r="C57" s="28"/>
      <c r="D57" s="32">
        <f>F22/F16</f>
        <v>0.22020152505446622</v>
      </c>
      <c r="E57" s="32"/>
      <c r="H57" s="8"/>
      <c r="I57" s="8"/>
    </row>
    <row r="58" spans="1:12" x14ac:dyDescent="0.25">
      <c r="A58" s="28" t="s">
        <v>47</v>
      </c>
      <c r="B58" s="28"/>
      <c r="C58" s="28"/>
      <c r="D58" s="32">
        <f>(F21+F22)/F16</f>
        <v>0.54808823529411765</v>
      </c>
      <c r="E58" s="32"/>
      <c r="H58" s="8"/>
      <c r="I58" s="8"/>
    </row>
    <row r="59" spans="1:12" x14ac:dyDescent="0.25">
      <c r="A59" s="28" t="s">
        <v>37</v>
      </c>
      <c r="B59" s="28"/>
      <c r="C59" s="28"/>
      <c r="D59" s="29">
        <f>D41/D42</f>
        <v>4.9578947368421051</v>
      </c>
      <c r="E59" s="29"/>
      <c r="H59" s="8"/>
      <c r="I59" s="8"/>
    </row>
    <row r="60" spans="1:12" x14ac:dyDescent="0.25">
      <c r="A60" s="28" t="s">
        <v>46</v>
      </c>
      <c r="B60" s="28"/>
      <c r="C60" s="28"/>
      <c r="D60" s="29">
        <f>D44/D41</f>
        <v>5.004246284501062</v>
      </c>
      <c r="E60" s="29"/>
      <c r="H60" s="8"/>
      <c r="I60" s="8"/>
    </row>
    <row r="61" spans="1:12" x14ac:dyDescent="0.25">
      <c r="A61" s="28" t="s">
        <v>45</v>
      </c>
      <c r="B61" s="28"/>
      <c r="C61" s="28"/>
      <c r="D61" s="29">
        <f>(F16-F22-F21)/D45</f>
        <v>3.6074347826086957</v>
      </c>
      <c r="E61" s="29"/>
    </row>
    <row r="62" spans="1:12" x14ac:dyDescent="0.25">
      <c r="A62" s="28"/>
      <c r="B62" s="28"/>
      <c r="C62" s="28"/>
    </row>
    <row r="63" spans="1:12" x14ac:dyDescent="0.25">
      <c r="A63" s="9" t="s">
        <v>53</v>
      </c>
      <c r="B63" s="9"/>
    </row>
    <row r="64" spans="1:12" x14ac:dyDescent="0.25">
      <c r="A64" t="s">
        <v>54</v>
      </c>
    </row>
    <row r="65" spans="1:5" x14ac:dyDescent="0.25">
      <c r="A65" t="s">
        <v>55</v>
      </c>
    </row>
    <row r="66" spans="1:5" x14ac:dyDescent="0.25">
      <c r="A66" t="s">
        <v>56</v>
      </c>
    </row>
    <row r="69" spans="1:5" x14ac:dyDescent="0.25">
      <c r="B69" s="3" t="s">
        <v>58</v>
      </c>
    </row>
    <row r="70" spans="1:5" ht="15.75" x14ac:dyDescent="0.25">
      <c r="B70" s="10" t="s">
        <v>59</v>
      </c>
    </row>
    <row r="71" spans="1:5" x14ac:dyDescent="0.25">
      <c r="B71" s="3" t="s">
        <v>60</v>
      </c>
      <c r="C71" s="3"/>
      <c r="D71" s="3"/>
      <c r="E71" s="3"/>
    </row>
    <row r="73" spans="1:5" x14ac:dyDescent="0.25">
      <c r="A73" s="3" t="s">
        <v>69</v>
      </c>
    </row>
    <row r="75" spans="1:5" x14ac:dyDescent="0.25">
      <c r="A75" s="12" t="s">
        <v>68</v>
      </c>
    </row>
    <row r="77" spans="1:5" x14ac:dyDescent="0.25">
      <c r="B77" t="s">
        <v>61</v>
      </c>
      <c r="C77" t="s">
        <v>62</v>
      </c>
      <c r="D77">
        <v>1000</v>
      </c>
    </row>
    <row r="78" spans="1:5" x14ac:dyDescent="0.25">
      <c r="C78" t="s">
        <v>63</v>
      </c>
      <c r="D78">
        <v>0.1</v>
      </c>
    </row>
    <row r="79" spans="1:5" x14ac:dyDescent="0.25">
      <c r="C79" t="s">
        <v>64</v>
      </c>
      <c r="D79">
        <v>5</v>
      </c>
    </row>
    <row r="80" spans="1:5" x14ac:dyDescent="0.25">
      <c r="B80" t="s">
        <v>65</v>
      </c>
      <c r="C80" t="s">
        <v>66</v>
      </c>
      <c r="E80" s="13">
        <f>1000*(1+0.1)^5</f>
        <v>1610.5100000000004</v>
      </c>
    </row>
    <row r="81" spans="1:5" x14ac:dyDescent="0.25">
      <c r="B81" t="s">
        <v>67</v>
      </c>
      <c r="E81" s="14">
        <f>D77*(1+D78)^D79</f>
        <v>1610.5100000000004</v>
      </c>
    </row>
    <row r="84" spans="1:5" x14ac:dyDescent="0.25">
      <c r="A84" s="12" t="s">
        <v>70</v>
      </c>
    </row>
    <row r="86" spans="1:5" x14ac:dyDescent="0.25">
      <c r="B86" t="s">
        <v>71</v>
      </c>
      <c r="C86" s="28" t="s">
        <v>72</v>
      </c>
      <c r="D86" s="28"/>
      <c r="E86" s="28"/>
    </row>
    <row r="87" spans="1:5" x14ac:dyDescent="0.25">
      <c r="C87" s="16">
        <v>0</v>
      </c>
      <c r="D87" s="16">
        <v>0.05</v>
      </c>
      <c r="E87" s="16">
        <v>0.2</v>
      </c>
    </row>
    <row r="88" spans="1:5" x14ac:dyDescent="0.25">
      <c r="B88">
        <v>0</v>
      </c>
      <c r="C88">
        <f>1000*(1+0)^B88</f>
        <v>1000</v>
      </c>
      <c r="D88">
        <f t="shared" ref="D88:D93" si="0">1000*(1+0.05)^B88</f>
        <v>1000</v>
      </c>
      <c r="E88">
        <f t="shared" ref="E88:E93" si="1">1000*(1+0.2)^B88</f>
        <v>1000</v>
      </c>
    </row>
    <row r="89" spans="1:5" x14ac:dyDescent="0.25">
      <c r="B89">
        <v>1</v>
      </c>
      <c r="C89">
        <f>1000*(1+0%)^B89</f>
        <v>1000</v>
      </c>
      <c r="D89">
        <f t="shared" si="0"/>
        <v>1050</v>
      </c>
      <c r="E89">
        <f t="shared" si="1"/>
        <v>1200</v>
      </c>
    </row>
    <row r="90" spans="1:5" x14ac:dyDescent="0.25">
      <c r="B90">
        <v>2</v>
      </c>
      <c r="C90">
        <f>1000*(1+0%)^B90</f>
        <v>1000</v>
      </c>
      <c r="D90">
        <f t="shared" si="0"/>
        <v>1102.5</v>
      </c>
      <c r="E90">
        <f t="shared" si="1"/>
        <v>1440</v>
      </c>
    </row>
    <row r="91" spans="1:5" x14ac:dyDescent="0.25">
      <c r="B91">
        <v>3</v>
      </c>
      <c r="C91">
        <f>1000*(1+0%)^B91</f>
        <v>1000</v>
      </c>
      <c r="D91">
        <f t="shared" si="0"/>
        <v>1157.6250000000002</v>
      </c>
      <c r="E91">
        <f t="shared" si="1"/>
        <v>1728</v>
      </c>
    </row>
    <row r="92" spans="1:5" x14ac:dyDescent="0.25">
      <c r="B92">
        <v>4</v>
      </c>
      <c r="C92">
        <f>1000*(1+0%)^B92</f>
        <v>1000</v>
      </c>
      <c r="D92">
        <f t="shared" si="0"/>
        <v>1215.5062499999999</v>
      </c>
      <c r="E92">
        <f t="shared" si="1"/>
        <v>2073.6</v>
      </c>
    </row>
    <row r="93" spans="1:5" x14ac:dyDescent="0.25">
      <c r="B93">
        <v>5</v>
      </c>
      <c r="C93">
        <f>1000*(1+0%)^B93</f>
        <v>1000</v>
      </c>
      <c r="D93">
        <f t="shared" si="0"/>
        <v>1276.2815625000001</v>
      </c>
      <c r="E93">
        <f t="shared" si="1"/>
        <v>2488.3199999999997</v>
      </c>
    </row>
    <row r="96" spans="1:5" x14ac:dyDescent="0.25">
      <c r="D96" s="3" t="s">
        <v>73</v>
      </c>
    </row>
    <row r="114" spans="1:7" x14ac:dyDescent="0.25">
      <c r="A114" s="12" t="s">
        <v>74</v>
      </c>
    </row>
    <row r="116" spans="1:7" x14ac:dyDescent="0.25">
      <c r="B116" t="s">
        <v>61</v>
      </c>
      <c r="D116" t="s">
        <v>75</v>
      </c>
      <c r="E116">
        <v>1000</v>
      </c>
    </row>
    <row r="117" spans="1:7" x14ac:dyDescent="0.25">
      <c r="D117" t="s">
        <v>76</v>
      </c>
      <c r="E117" s="16">
        <v>0.1</v>
      </c>
    </row>
    <row r="118" spans="1:7" x14ac:dyDescent="0.25">
      <c r="D118" t="s">
        <v>64</v>
      </c>
      <c r="E118">
        <v>5</v>
      </c>
    </row>
    <row r="119" spans="1:7" x14ac:dyDescent="0.25">
      <c r="B119" t="s">
        <v>65</v>
      </c>
      <c r="D119" t="s">
        <v>77</v>
      </c>
      <c r="F119" s="9">
        <f>1000*(1+0.1)^5</f>
        <v>1610.5100000000004</v>
      </c>
      <c r="G119" s="9"/>
    </row>
    <row r="120" spans="1:7" x14ac:dyDescent="0.25">
      <c r="B120" t="s">
        <v>78</v>
      </c>
      <c r="F120" s="9">
        <f>E116*(1+E117)^E118</f>
        <v>1610.5100000000004</v>
      </c>
      <c r="G120" s="9"/>
    </row>
    <row r="122" spans="1:7" x14ac:dyDescent="0.25">
      <c r="A122" s="12" t="s">
        <v>79</v>
      </c>
    </row>
    <row r="124" spans="1:7" x14ac:dyDescent="0.25">
      <c r="B124" t="s">
        <v>61</v>
      </c>
      <c r="C124" t="s">
        <v>80</v>
      </c>
      <c r="D124">
        <v>-1000</v>
      </c>
    </row>
    <row r="125" spans="1:7" x14ac:dyDescent="0.25">
      <c r="C125" t="s">
        <v>81</v>
      </c>
      <c r="D125">
        <v>2000</v>
      </c>
    </row>
    <row r="126" spans="1:7" x14ac:dyDescent="0.25">
      <c r="C126" t="s">
        <v>76</v>
      </c>
      <c r="D126" t="s">
        <v>82</v>
      </c>
    </row>
    <row r="127" spans="1:7" x14ac:dyDescent="0.25">
      <c r="C127" t="s">
        <v>64</v>
      </c>
      <c r="D127">
        <v>5</v>
      </c>
    </row>
    <row r="129" spans="1:6" x14ac:dyDescent="0.25">
      <c r="B129" t="s">
        <v>83</v>
      </c>
      <c r="D129" s="18">
        <f>RATE(D127,0,D124,D125)</f>
        <v>0.14869835499702125</v>
      </c>
    </row>
    <row r="132" spans="1:6" x14ac:dyDescent="0.25">
      <c r="A132" s="12" t="s">
        <v>84</v>
      </c>
    </row>
    <row r="134" spans="1:6" x14ac:dyDescent="0.25">
      <c r="B134" t="s">
        <v>61</v>
      </c>
      <c r="C134" t="s">
        <v>80</v>
      </c>
      <c r="E134">
        <v>-30</v>
      </c>
    </row>
    <row r="135" spans="1:6" x14ac:dyDescent="0.25">
      <c r="C135" t="s">
        <v>81</v>
      </c>
      <c r="E135">
        <f>2*30</f>
        <v>60</v>
      </c>
    </row>
    <row r="136" spans="1:6" x14ac:dyDescent="0.25">
      <c r="C136" t="s">
        <v>85</v>
      </c>
      <c r="E136" s="16">
        <v>0.02</v>
      </c>
    </row>
    <row r="137" spans="1:6" x14ac:dyDescent="0.25">
      <c r="C137" t="s">
        <v>64</v>
      </c>
      <c r="E137" t="s">
        <v>82</v>
      </c>
    </row>
    <row r="139" spans="1:6" x14ac:dyDescent="0.25">
      <c r="B139" t="s">
        <v>86</v>
      </c>
      <c r="E139" s="17">
        <f>NPER(E136,0,E134,E135)</f>
        <v>35.002788781146499</v>
      </c>
      <c r="F139" t="s">
        <v>87</v>
      </c>
    </row>
    <row r="142" spans="1:6" x14ac:dyDescent="0.25">
      <c r="A142" s="3" t="s">
        <v>88</v>
      </c>
    </row>
    <row r="144" spans="1:6" x14ac:dyDescent="0.25">
      <c r="B144" t="s">
        <v>61</v>
      </c>
      <c r="D144" t="s">
        <v>89</v>
      </c>
      <c r="F144">
        <v>1000</v>
      </c>
    </row>
    <row r="145" spans="1:7" x14ac:dyDescent="0.25">
      <c r="D145" t="s">
        <v>90</v>
      </c>
      <c r="F145">
        <v>5</v>
      </c>
    </row>
    <row r="146" spans="1:7" x14ac:dyDescent="0.25">
      <c r="D146" t="s">
        <v>91</v>
      </c>
      <c r="F146" s="16">
        <v>0.15</v>
      </c>
      <c r="G146" s="16"/>
    </row>
    <row r="148" spans="1:7" x14ac:dyDescent="0.25">
      <c r="B148" t="s">
        <v>92</v>
      </c>
      <c r="E148" t="s">
        <v>80</v>
      </c>
      <c r="F148" s="13">
        <f>PV(F146,F145,F144)</f>
        <v>-3352.1550980114007</v>
      </c>
      <c r="G148" s="13"/>
    </row>
    <row r="150" spans="1:7" x14ac:dyDescent="0.25">
      <c r="B150" t="s">
        <v>93</v>
      </c>
      <c r="E150" t="s">
        <v>81</v>
      </c>
      <c r="F150" s="13">
        <f>FV(F146,F145,F144)</f>
        <v>-6742.3812499999958</v>
      </c>
      <c r="G150" s="13"/>
    </row>
    <row r="152" spans="1:7" x14ac:dyDescent="0.25">
      <c r="A152" s="3" t="s">
        <v>94</v>
      </c>
    </row>
    <row r="154" spans="1:7" x14ac:dyDescent="0.25">
      <c r="A154" t="s">
        <v>95</v>
      </c>
    </row>
    <row r="155" spans="1:7" x14ac:dyDescent="0.25">
      <c r="A155" t="s">
        <v>96</v>
      </c>
    </row>
    <row r="156" spans="1:7" x14ac:dyDescent="0.25">
      <c r="B156" t="s">
        <v>103</v>
      </c>
    </row>
    <row r="157" spans="1:7" x14ac:dyDescent="0.25">
      <c r="A157" t="s">
        <v>97</v>
      </c>
      <c r="C157">
        <v>-3352.1550980114007</v>
      </c>
      <c r="D157" t="s">
        <v>98</v>
      </c>
      <c r="E157" t="s">
        <v>101</v>
      </c>
      <c r="F157">
        <v>-3854.9783627131105</v>
      </c>
    </row>
    <row r="158" spans="1:7" x14ac:dyDescent="0.25">
      <c r="F158" s="11">
        <f>(1+F146)*F148</f>
        <v>-3854.9783627131105</v>
      </c>
      <c r="G158" s="11"/>
    </row>
    <row r="159" spans="1:7" x14ac:dyDescent="0.25">
      <c r="B159" t="s">
        <v>102</v>
      </c>
      <c r="F159" s="11"/>
      <c r="G159" s="11"/>
    </row>
    <row r="161" spans="1:9" x14ac:dyDescent="0.25">
      <c r="A161" t="s">
        <v>99</v>
      </c>
      <c r="C161">
        <v>-6742.3812499999958</v>
      </c>
      <c r="D161" t="s">
        <v>98</v>
      </c>
      <c r="E161" t="s">
        <v>101</v>
      </c>
      <c r="F161">
        <v>-7753.7384374999947</v>
      </c>
    </row>
    <row r="162" spans="1:9" x14ac:dyDescent="0.25">
      <c r="D162" t="s">
        <v>100</v>
      </c>
      <c r="F162" s="11">
        <f>(1+F146)*F150</f>
        <v>-7753.7384374999947</v>
      </c>
      <c r="G162" s="11"/>
    </row>
    <row r="164" spans="1:9" x14ac:dyDescent="0.25">
      <c r="A164" s="3" t="s">
        <v>104</v>
      </c>
    </row>
    <row r="166" spans="1:9" x14ac:dyDescent="0.25">
      <c r="B166" s="15" t="s">
        <v>107</v>
      </c>
      <c r="C166" s="15"/>
      <c r="D166" s="15"/>
      <c r="E166" s="15"/>
      <c r="F166" s="15"/>
      <c r="G166" s="15"/>
      <c r="H166" s="19" t="s">
        <v>105</v>
      </c>
      <c r="I166" s="19" t="s">
        <v>106</v>
      </c>
    </row>
    <row r="167" spans="1:9" x14ac:dyDescent="0.25">
      <c r="B167" s="15"/>
      <c r="C167" s="15"/>
      <c r="D167" s="15" t="s">
        <v>61</v>
      </c>
      <c r="E167" s="15" t="s">
        <v>62</v>
      </c>
      <c r="F167" s="15"/>
      <c r="G167" s="15"/>
      <c r="H167" s="20">
        <v>1000</v>
      </c>
      <c r="I167" s="20">
        <v>1000</v>
      </c>
    </row>
    <row r="168" spans="1:9" x14ac:dyDescent="0.25">
      <c r="B168" s="15"/>
      <c r="C168" s="15"/>
      <c r="D168" s="15"/>
      <c r="E168" s="15" t="s">
        <v>76</v>
      </c>
      <c r="F168" s="15"/>
      <c r="G168" s="15"/>
      <c r="H168" s="21">
        <v>0.1</v>
      </c>
      <c r="I168" s="21">
        <f>H168/2</f>
        <v>0.05</v>
      </c>
    </row>
    <row r="169" spans="1:9" x14ac:dyDescent="0.25">
      <c r="B169" s="15"/>
      <c r="C169" s="15"/>
      <c r="D169" s="15"/>
      <c r="E169" s="15" t="s">
        <v>64</v>
      </c>
      <c r="F169" s="15"/>
      <c r="G169" s="15"/>
      <c r="H169" s="20">
        <v>5</v>
      </c>
      <c r="I169" s="20">
        <f>H169*2</f>
        <v>10</v>
      </c>
    </row>
    <row r="170" spans="1:9" x14ac:dyDescent="0.25">
      <c r="B170" s="15"/>
      <c r="C170" s="15"/>
      <c r="D170" s="15" t="s">
        <v>65</v>
      </c>
      <c r="E170" s="15" t="s">
        <v>66</v>
      </c>
      <c r="F170" s="15"/>
      <c r="G170" s="15"/>
      <c r="H170" s="22">
        <f>1000*(1+10%)^5</f>
        <v>1610.5100000000004</v>
      </c>
      <c r="I170" s="22">
        <f>1000*(1+0.05)^10</f>
        <v>1628.8946267774415</v>
      </c>
    </row>
    <row r="171" spans="1:9" x14ac:dyDescent="0.25">
      <c r="B171" s="15"/>
      <c r="C171" s="15"/>
      <c r="D171" s="15" t="s">
        <v>67</v>
      </c>
      <c r="E171" s="15"/>
      <c r="F171" s="15"/>
      <c r="G171" s="15"/>
      <c r="H171" s="23">
        <f>H167*(1+H168)^H169</f>
        <v>1610.5100000000004</v>
      </c>
      <c r="I171" s="24">
        <f>I167*(1+I168)^I169</f>
        <v>1628.8946267774415</v>
      </c>
    </row>
    <row r="172" spans="1:9" x14ac:dyDescent="0.25">
      <c r="B172" s="15"/>
      <c r="C172" s="15"/>
      <c r="D172" s="15"/>
      <c r="E172" s="15"/>
      <c r="F172" s="15"/>
      <c r="G172" s="15"/>
      <c r="H172" s="15"/>
      <c r="I172" s="15"/>
    </row>
    <row r="173" spans="1:9" x14ac:dyDescent="0.25">
      <c r="B173" s="15" t="s">
        <v>108</v>
      </c>
      <c r="C173" s="15"/>
      <c r="D173" s="15"/>
      <c r="E173" s="15"/>
      <c r="F173" s="15"/>
      <c r="G173" s="15"/>
      <c r="H173" s="19" t="s">
        <v>105</v>
      </c>
      <c r="I173" s="19" t="s">
        <v>106</v>
      </c>
    </row>
    <row r="174" spans="1:9" x14ac:dyDescent="0.25">
      <c r="B174" s="15"/>
      <c r="C174" s="15"/>
      <c r="D174" s="15" t="s">
        <v>61</v>
      </c>
      <c r="E174" s="15" t="s">
        <v>75</v>
      </c>
      <c r="F174" s="15"/>
      <c r="G174" s="15"/>
      <c r="H174" s="20">
        <v>1000</v>
      </c>
      <c r="I174" s="20">
        <v>1000</v>
      </c>
    </row>
    <row r="175" spans="1:9" x14ac:dyDescent="0.25">
      <c r="B175" s="15"/>
      <c r="C175" s="15"/>
      <c r="D175" s="15"/>
      <c r="E175" s="15" t="s">
        <v>76</v>
      </c>
      <c r="F175" s="15"/>
      <c r="G175" s="15"/>
      <c r="H175" s="21">
        <v>0.1</v>
      </c>
      <c r="I175" s="21">
        <f>H175/2</f>
        <v>0.05</v>
      </c>
    </row>
    <row r="176" spans="1:9" x14ac:dyDescent="0.25">
      <c r="B176" s="15"/>
      <c r="C176" s="15"/>
      <c r="D176" s="15"/>
      <c r="E176" s="15" t="s">
        <v>64</v>
      </c>
      <c r="F176" s="15"/>
      <c r="G176" s="15"/>
      <c r="H176" s="20">
        <v>5</v>
      </c>
      <c r="I176" s="20">
        <f>H176*2</f>
        <v>10</v>
      </c>
    </row>
    <row r="177" spans="1:9" x14ac:dyDescent="0.25">
      <c r="B177" s="15"/>
      <c r="C177" s="15"/>
      <c r="D177" s="15" t="s">
        <v>65</v>
      </c>
      <c r="E177" s="15" t="s">
        <v>77</v>
      </c>
      <c r="F177" s="15"/>
      <c r="G177" s="15"/>
      <c r="H177" s="22">
        <f>1000/(1+10%)^5</f>
        <v>620.92132305915493</v>
      </c>
      <c r="I177" s="22">
        <f>1000/(1+5%)^10</f>
        <v>613.91325354075934</v>
      </c>
    </row>
    <row r="178" spans="1:9" x14ac:dyDescent="0.25">
      <c r="B178" s="15"/>
      <c r="C178" s="15"/>
      <c r="D178" s="15" t="s">
        <v>78</v>
      </c>
      <c r="E178" s="15"/>
      <c r="F178" s="15"/>
      <c r="G178" s="15"/>
      <c r="H178" s="22">
        <f>H174/(1+H175)^H176</f>
        <v>620.92132305915493</v>
      </c>
      <c r="I178" s="22">
        <f>I174/(1+I175)^I176</f>
        <v>613.91325354075934</v>
      </c>
    </row>
    <row r="181" spans="1:9" x14ac:dyDescent="0.25">
      <c r="A181" s="3" t="s">
        <v>109</v>
      </c>
    </row>
    <row r="183" spans="1:9" x14ac:dyDescent="0.25">
      <c r="B183" t="s">
        <v>110</v>
      </c>
      <c r="D183" t="s">
        <v>111</v>
      </c>
    </row>
    <row r="184" spans="1:9" x14ac:dyDescent="0.25">
      <c r="B184">
        <v>1</v>
      </c>
      <c r="D184">
        <v>100</v>
      </c>
    </row>
    <row r="185" spans="1:9" x14ac:dyDescent="0.25">
      <c r="B185">
        <v>2</v>
      </c>
      <c r="D185">
        <v>200</v>
      </c>
    </row>
    <row r="186" spans="1:9" x14ac:dyDescent="0.25">
      <c r="B186">
        <v>3</v>
      </c>
      <c r="D186">
        <v>400</v>
      </c>
    </row>
    <row r="188" spans="1:9" x14ac:dyDescent="0.25">
      <c r="C188" t="s">
        <v>112</v>
      </c>
      <c r="D188" s="16">
        <v>0.08</v>
      </c>
    </row>
    <row r="190" spans="1:9" x14ac:dyDescent="0.25">
      <c r="B190" t="s">
        <v>62</v>
      </c>
      <c r="C190" s="13">
        <f>NPV(D188,D184,D185,D186)</f>
        <v>581.59325306101709</v>
      </c>
    </row>
    <row r="192" spans="1:9" x14ac:dyDescent="0.25">
      <c r="B192" t="s">
        <v>117</v>
      </c>
      <c r="C192" s="25"/>
    </row>
    <row r="193" spans="1:7" x14ac:dyDescent="0.25">
      <c r="B193" t="s">
        <v>110</v>
      </c>
      <c r="C193" t="s">
        <v>111</v>
      </c>
      <c r="D193" t="s">
        <v>98</v>
      </c>
      <c r="E193" t="s">
        <v>115</v>
      </c>
      <c r="F193" t="s">
        <v>116</v>
      </c>
    </row>
    <row r="194" spans="1:7" x14ac:dyDescent="0.25">
      <c r="B194">
        <v>1</v>
      </c>
      <c r="C194">
        <v>100</v>
      </c>
      <c r="E194">
        <f>(1+D188)^2</f>
        <v>1.1664000000000001</v>
      </c>
      <c r="F194">
        <f>C194*E194</f>
        <v>116.64000000000001</v>
      </c>
    </row>
    <row r="195" spans="1:7" x14ac:dyDescent="0.25">
      <c r="B195">
        <v>2</v>
      </c>
      <c r="C195">
        <v>200</v>
      </c>
      <c r="E195">
        <f>(1+D188)*1</f>
        <v>1.08</v>
      </c>
      <c r="F195">
        <f>C195*E195</f>
        <v>216</v>
      </c>
    </row>
    <row r="196" spans="1:7" x14ac:dyDescent="0.25">
      <c r="B196">
        <v>3</v>
      </c>
      <c r="C196">
        <v>400</v>
      </c>
      <c r="E196">
        <f>(1+D188)^0</f>
        <v>1</v>
      </c>
      <c r="F196">
        <f>C196*E196</f>
        <v>400</v>
      </c>
    </row>
    <row r="197" spans="1:7" x14ac:dyDescent="0.25">
      <c r="E197" t="s">
        <v>116</v>
      </c>
      <c r="F197" s="9">
        <f>SUM(F194:F196)</f>
        <v>732.64</v>
      </c>
      <c r="G197" s="9"/>
    </row>
    <row r="200" spans="1:7" x14ac:dyDescent="0.25">
      <c r="A200" s="12" t="s">
        <v>113</v>
      </c>
    </row>
    <row r="203" spans="1:7" x14ac:dyDescent="0.25">
      <c r="A203" t="s">
        <v>118</v>
      </c>
      <c r="D203">
        <v>50000</v>
      </c>
    </row>
    <row r="204" spans="1:7" x14ac:dyDescent="0.25">
      <c r="A204" t="s">
        <v>119</v>
      </c>
      <c r="D204">
        <v>10</v>
      </c>
    </row>
    <row r="205" spans="1:7" x14ac:dyDescent="0.25">
      <c r="A205" t="s">
        <v>120</v>
      </c>
      <c r="D205" s="16">
        <v>0.08</v>
      </c>
    </row>
    <row r="207" spans="1:7" x14ac:dyDescent="0.25">
      <c r="B207" t="s">
        <v>121</v>
      </c>
      <c r="D207" s="13">
        <f>PMT(D205,D204,D203)</f>
        <v>-7451.4744348537706</v>
      </c>
    </row>
    <row r="210" spans="1:8" x14ac:dyDescent="0.25">
      <c r="B210" t="s">
        <v>110</v>
      </c>
      <c r="C210" t="s">
        <v>124</v>
      </c>
      <c r="D210" t="s">
        <v>122</v>
      </c>
      <c r="E210" t="s">
        <v>123</v>
      </c>
      <c r="F210" t="s">
        <v>126</v>
      </c>
      <c r="G210" t="s">
        <v>127</v>
      </c>
      <c r="H210" t="s">
        <v>125</v>
      </c>
    </row>
    <row r="211" spans="1:8" x14ac:dyDescent="0.25">
      <c r="B211">
        <v>1</v>
      </c>
      <c r="C211">
        <v>50000</v>
      </c>
      <c r="D211" s="11">
        <f>PMT(D205,D204,D203)</f>
        <v>-7451.4744348537706</v>
      </c>
      <c r="E211">
        <f>C211*8%</f>
        <v>4000</v>
      </c>
      <c r="F211">
        <v>416.67</v>
      </c>
      <c r="G211">
        <f>E211-F211</f>
        <v>3583.33</v>
      </c>
      <c r="H211" s="26">
        <f t="shared" ref="H211:H220" si="2">C211+D211</f>
        <v>42548.525565146228</v>
      </c>
    </row>
    <row r="212" spans="1:8" x14ac:dyDescent="0.25">
      <c r="B212">
        <v>2</v>
      </c>
      <c r="C212">
        <v>42548.525565146228</v>
      </c>
      <c r="D212" s="11">
        <f>PMT(D205,D204,C212)</f>
        <v>-6340.9850097881845</v>
      </c>
      <c r="E212">
        <f t="shared" ref="E212:E220" si="3">C212*8%</f>
        <v>3403.8820452116984</v>
      </c>
      <c r="F212">
        <v>416.67</v>
      </c>
      <c r="G212">
        <f t="shared" ref="G212:G220" si="4">E212-F212</f>
        <v>2987.2120452116983</v>
      </c>
      <c r="H212" s="26">
        <f t="shared" si="2"/>
        <v>36207.540555358042</v>
      </c>
    </row>
    <row r="213" spans="1:8" x14ac:dyDescent="0.25">
      <c r="B213">
        <v>3</v>
      </c>
      <c r="C213">
        <v>36207.540555358042</v>
      </c>
      <c r="D213" s="11">
        <f>PMT(D205,D204,C213)</f>
        <v>-5395.9912559436307</v>
      </c>
      <c r="E213">
        <f t="shared" si="3"/>
        <v>2896.6032444286434</v>
      </c>
      <c r="F213">
        <v>416.67</v>
      </c>
      <c r="G213">
        <f t="shared" si="4"/>
        <v>2479.9332444286433</v>
      </c>
      <c r="H213" s="26">
        <f t="shared" si="2"/>
        <v>30811.549299414412</v>
      </c>
    </row>
    <row r="214" spans="1:8" x14ac:dyDescent="0.25">
      <c r="B214">
        <v>4</v>
      </c>
      <c r="C214">
        <v>30811.549299414412</v>
      </c>
      <c r="D214" s="11">
        <f>PMT(D205,D204,C214)</f>
        <v>-4591.8294380564612</v>
      </c>
      <c r="E214">
        <f t="shared" si="3"/>
        <v>2464.923943953153</v>
      </c>
      <c r="F214">
        <v>416.67</v>
      </c>
      <c r="G214">
        <f t="shared" si="4"/>
        <v>2048.2539439531529</v>
      </c>
      <c r="H214" s="26">
        <f t="shared" si="2"/>
        <v>26219.719861357949</v>
      </c>
    </row>
    <row r="215" spans="1:8" x14ac:dyDescent="0.25">
      <c r="B215">
        <v>5</v>
      </c>
      <c r="C215">
        <v>26219.719861357949</v>
      </c>
      <c r="D215" s="11">
        <f>PMT(D205,D204,C215)</f>
        <v>-3907.5114447187284</v>
      </c>
      <c r="E215">
        <f t="shared" si="3"/>
        <v>2097.5775889086358</v>
      </c>
      <c r="F215">
        <v>416.67</v>
      </c>
      <c r="G215">
        <f t="shared" si="4"/>
        <v>1680.9075889086357</v>
      </c>
      <c r="H215" s="26">
        <f t="shared" si="2"/>
        <v>22312.20841663922</v>
      </c>
    </row>
    <row r="216" spans="1:8" x14ac:dyDescent="0.25">
      <c r="B216">
        <v>6</v>
      </c>
      <c r="C216">
        <v>22312.20841663922</v>
      </c>
      <c r="D216" s="26">
        <f>PMT(D205,D204,C216)</f>
        <v>-3325.1770120343253</v>
      </c>
      <c r="E216">
        <f t="shared" si="3"/>
        <v>1784.9766733311376</v>
      </c>
      <c r="F216">
        <v>416.67</v>
      </c>
      <c r="G216">
        <f t="shared" si="4"/>
        <v>1368.3066733311375</v>
      </c>
      <c r="H216" s="26">
        <f t="shared" si="2"/>
        <v>18987.031404604895</v>
      </c>
    </row>
    <row r="217" spans="1:8" x14ac:dyDescent="0.25">
      <c r="B217">
        <v>7</v>
      </c>
      <c r="C217">
        <v>18987.031404604895</v>
      </c>
      <c r="D217" s="11">
        <f>PMT(D205,D204,C217)</f>
        <v>-2829.6275821035811</v>
      </c>
      <c r="E217">
        <f t="shared" si="3"/>
        <v>1518.9625123683916</v>
      </c>
      <c r="F217">
        <v>416.67</v>
      </c>
      <c r="G217">
        <f t="shared" si="4"/>
        <v>1102.2925123683915</v>
      </c>
      <c r="H217" s="26">
        <f t="shared" si="2"/>
        <v>16157.403822501314</v>
      </c>
    </row>
    <row r="218" spans="1:8" x14ac:dyDescent="0.25">
      <c r="B218">
        <v>8</v>
      </c>
      <c r="C218">
        <v>16157.403822501314</v>
      </c>
      <c r="D218" s="11">
        <f>PMT(D205,D204,C218)</f>
        <v>-2407.9296303395427</v>
      </c>
      <c r="E218">
        <f t="shared" si="3"/>
        <v>1292.5923058001051</v>
      </c>
      <c r="F218">
        <v>416.67</v>
      </c>
      <c r="G218">
        <f t="shared" si="4"/>
        <v>875.92230580010505</v>
      </c>
      <c r="H218" s="26">
        <f t="shared" si="2"/>
        <v>13749.474192161771</v>
      </c>
    </row>
    <row r="219" spans="1:8" x14ac:dyDescent="0.25">
      <c r="B219">
        <v>9</v>
      </c>
      <c r="C219">
        <v>13749.474192161771</v>
      </c>
      <c r="D219" s="11">
        <f>PMT(D205,D204,C219)</f>
        <v>-2049.0771087115027</v>
      </c>
      <c r="E219">
        <f t="shared" si="3"/>
        <v>1099.9579353729418</v>
      </c>
      <c r="F219">
        <v>416.67</v>
      </c>
      <c r="G219">
        <f t="shared" si="4"/>
        <v>683.28793537294177</v>
      </c>
      <c r="H219" s="26">
        <f t="shared" si="2"/>
        <v>11700.397083450269</v>
      </c>
    </row>
    <row r="220" spans="1:8" x14ac:dyDescent="0.25">
      <c r="B220">
        <v>10</v>
      </c>
      <c r="C220">
        <v>11700.397083450269</v>
      </c>
      <c r="D220" s="11">
        <f>PMT(D205,D204,C220)</f>
        <v>-1743.704194899346</v>
      </c>
      <c r="E220">
        <f t="shared" si="3"/>
        <v>936.03176667602156</v>
      </c>
      <c r="F220">
        <v>416.67</v>
      </c>
      <c r="G220">
        <f t="shared" si="4"/>
        <v>519.36176667602149</v>
      </c>
      <c r="H220" s="26">
        <f t="shared" si="2"/>
        <v>9956.6928885509224</v>
      </c>
    </row>
    <row r="221" spans="1:8" x14ac:dyDescent="0.25">
      <c r="H221" s="26"/>
    </row>
    <row r="222" spans="1:8" x14ac:dyDescent="0.25">
      <c r="H222" s="26"/>
    </row>
    <row r="223" spans="1:8" x14ac:dyDescent="0.25">
      <c r="A223" s="12" t="s">
        <v>114</v>
      </c>
    </row>
    <row r="241" spans="1:8" x14ac:dyDescent="0.25">
      <c r="A241" s="3" t="s">
        <v>130</v>
      </c>
    </row>
    <row r="242" spans="1:8" x14ac:dyDescent="0.25">
      <c r="A242" s="3"/>
    </row>
    <row r="243" spans="1:8" x14ac:dyDescent="0.25">
      <c r="A243" s="3"/>
    </row>
    <row r="244" spans="1:8" x14ac:dyDescent="0.25">
      <c r="A244" s="3"/>
      <c r="C244" t="s">
        <v>129</v>
      </c>
      <c r="E244" s="9">
        <f>12*10</f>
        <v>120</v>
      </c>
    </row>
    <row r="245" spans="1:8" x14ac:dyDescent="0.25">
      <c r="C245" t="s">
        <v>128</v>
      </c>
      <c r="D245" s="27">
        <f>8%/12</f>
        <v>6.6666666666666671E-3</v>
      </c>
    </row>
    <row r="247" spans="1:8" x14ac:dyDescent="0.25">
      <c r="B247" t="s">
        <v>110</v>
      </c>
      <c r="C247" t="s">
        <v>124</v>
      </c>
      <c r="D247" t="s">
        <v>122</v>
      </c>
      <c r="E247" t="s">
        <v>123</v>
      </c>
      <c r="F247" t="s">
        <v>126</v>
      </c>
      <c r="G247" t="s">
        <v>127</v>
      </c>
      <c r="H247" t="s">
        <v>125</v>
      </c>
    </row>
    <row r="248" spans="1:8" x14ac:dyDescent="0.25">
      <c r="B248">
        <v>1</v>
      </c>
      <c r="C248">
        <v>50000</v>
      </c>
      <c r="D248">
        <v>-7451.4744348537706</v>
      </c>
      <c r="E248">
        <v>4000</v>
      </c>
      <c r="F248">
        <f>(0.08/12*50000)</f>
        <v>333.33333333333337</v>
      </c>
      <c r="G248">
        <v>3583.33</v>
      </c>
      <c r="H248">
        <v>42548.525565146228</v>
      </c>
    </row>
    <row r="249" spans="1:8" x14ac:dyDescent="0.25">
      <c r="B249">
        <v>2</v>
      </c>
      <c r="C249">
        <v>42548.525565146228</v>
      </c>
      <c r="D249">
        <v>-6340.9850097881845</v>
      </c>
      <c r="E249">
        <v>3403.8820452116984</v>
      </c>
      <c r="F249">
        <f t="shared" ref="F249:F257" si="5">(0.08/12*50000)</f>
        <v>333.33333333333337</v>
      </c>
      <c r="G249">
        <v>2987.2120452116983</v>
      </c>
      <c r="H249">
        <v>36207.540555358042</v>
      </c>
    </row>
    <row r="250" spans="1:8" x14ac:dyDescent="0.25">
      <c r="B250">
        <v>3</v>
      </c>
      <c r="C250">
        <v>36207.540555358042</v>
      </c>
      <c r="D250">
        <v>-5395.9912559436307</v>
      </c>
      <c r="E250">
        <v>2896.6032444286434</v>
      </c>
      <c r="F250">
        <f t="shared" si="5"/>
        <v>333.33333333333337</v>
      </c>
      <c r="G250">
        <v>2479.9332444286433</v>
      </c>
      <c r="H250">
        <v>30811.549299414412</v>
      </c>
    </row>
    <row r="251" spans="1:8" x14ac:dyDescent="0.25">
      <c r="B251">
        <v>4</v>
      </c>
      <c r="C251">
        <v>30811.549299414412</v>
      </c>
      <c r="D251">
        <v>-4591.8294380564612</v>
      </c>
      <c r="E251">
        <v>2464.923943953153</v>
      </c>
      <c r="F251">
        <f t="shared" si="5"/>
        <v>333.33333333333337</v>
      </c>
      <c r="G251">
        <v>2048.2539439531529</v>
      </c>
      <c r="H251">
        <v>26219.719861357949</v>
      </c>
    </row>
    <row r="252" spans="1:8" x14ac:dyDescent="0.25">
      <c r="B252">
        <v>5</v>
      </c>
      <c r="C252">
        <v>26219.719861357949</v>
      </c>
      <c r="D252">
        <v>-3907.5114447187284</v>
      </c>
      <c r="E252">
        <v>2097.5775889086358</v>
      </c>
      <c r="F252">
        <f t="shared" si="5"/>
        <v>333.33333333333337</v>
      </c>
      <c r="G252">
        <v>1680.9075889086357</v>
      </c>
      <c r="H252">
        <v>22312.20841663922</v>
      </c>
    </row>
    <row r="253" spans="1:8" x14ac:dyDescent="0.25">
      <c r="B253">
        <v>6</v>
      </c>
      <c r="C253">
        <v>22312.20841663922</v>
      </c>
      <c r="D253">
        <v>-3325.1770120343253</v>
      </c>
      <c r="E253">
        <v>1784.9766733311376</v>
      </c>
      <c r="F253">
        <f t="shared" si="5"/>
        <v>333.33333333333337</v>
      </c>
      <c r="G253">
        <v>1368.3066733311375</v>
      </c>
      <c r="H253">
        <v>18987.031404604895</v>
      </c>
    </row>
    <row r="254" spans="1:8" x14ac:dyDescent="0.25">
      <c r="B254">
        <v>7</v>
      </c>
      <c r="C254">
        <v>18987.031404604895</v>
      </c>
      <c r="D254">
        <v>-2829.6275821035811</v>
      </c>
      <c r="E254">
        <v>1518.9625123683916</v>
      </c>
      <c r="F254">
        <f t="shared" si="5"/>
        <v>333.33333333333337</v>
      </c>
      <c r="G254">
        <v>1102.2925123683915</v>
      </c>
      <c r="H254">
        <v>16157.403822501314</v>
      </c>
    </row>
    <row r="255" spans="1:8" x14ac:dyDescent="0.25">
      <c r="B255">
        <v>8</v>
      </c>
      <c r="C255">
        <v>16157.403822501314</v>
      </c>
      <c r="D255">
        <v>-2407.9296303395427</v>
      </c>
      <c r="E255">
        <v>1292.5923058001051</v>
      </c>
      <c r="F255">
        <f t="shared" si="5"/>
        <v>333.33333333333337</v>
      </c>
      <c r="G255">
        <v>875.92230580010505</v>
      </c>
      <c r="H255">
        <v>13749.474192161771</v>
      </c>
    </row>
    <row r="256" spans="1:8" x14ac:dyDescent="0.25">
      <c r="B256">
        <v>9</v>
      </c>
      <c r="C256">
        <v>13749.474192161771</v>
      </c>
      <c r="D256">
        <v>-2049.0771087115027</v>
      </c>
      <c r="E256">
        <v>1099.9579353729418</v>
      </c>
      <c r="F256">
        <f t="shared" si="5"/>
        <v>333.33333333333337</v>
      </c>
      <c r="G256">
        <v>683.28793537294177</v>
      </c>
      <c r="H256">
        <v>11700.397083450269</v>
      </c>
    </row>
    <row r="257" spans="2:8" x14ac:dyDescent="0.25">
      <c r="B257">
        <v>10</v>
      </c>
      <c r="C257">
        <v>11700.397083450269</v>
      </c>
      <c r="D257">
        <v>-1743.704194899346</v>
      </c>
      <c r="E257">
        <v>936.03176667602156</v>
      </c>
      <c r="F257">
        <f t="shared" si="5"/>
        <v>333.33333333333337</v>
      </c>
      <c r="G257">
        <v>519.36176667602149</v>
      </c>
      <c r="H257">
        <v>9956.6928885509224</v>
      </c>
    </row>
  </sheetData>
  <mergeCells count="95">
    <mergeCell ref="C14:E14"/>
    <mergeCell ref="C16:E16"/>
    <mergeCell ref="C17:E17"/>
    <mergeCell ref="C18:E18"/>
    <mergeCell ref="A35:C35"/>
    <mergeCell ref="A30:C30"/>
    <mergeCell ref="A31:C31"/>
    <mergeCell ref="A32:C32"/>
    <mergeCell ref="A33:C33"/>
    <mergeCell ref="F16:H16"/>
    <mergeCell ref="F17:H17"/>
    <mergeCell ref="C15:E15"/>
    <mergeCell ref="C10:E10"/>
    <mergeCell ref="A34:C34"/>
    <mergeCell ref="C22:E22"/>
    <mergeCell ref="C23:E23"/>
    <mergeCell ref="C24:E24"/>
    <mergeCell ref="C25:E25"/>
    <mergeCell ref="H26:J26"/>
    <mergeCell ref="H27:J27"/>
    <mergeCell ref="F24:H24"/>
    <mergeCell ref="F25:H25"/>
    <mergeCell ref="C11:E11"/>
    <mergeCell ref="C12:E12"/>
    <mergeCell ref="C13:E13"/>
    <mergeCell ref="F11:H11"/>
    <mergeCell ref="F10:H10"/>
    <mergeCell ref="F12:H12"/>
    <mergeCell ref="A36:C36"/>
    <mergeCell ref="F18:H18"/>
    <mergeCell ref="F19:H19"/>
    <mergeCell ref="F20:H20"/>
    <mergeCell ref="F21:H21"/>
    <mergeCell ref="F22:H22"/>
    <mergeCell ref="F23:H23"/>
    <mergeCell ref="C20:E20"/>
    <mergeCell ref="C19:E19"/>
    <mergeCell ref="C21:E21"/>
    <mergeCell ref="F13:H13"/>
    <mergeCell ref="F14:H14"/>
    <mergeCell ref="F15:H15"/>
    <mergeCell ref="K39:L39"/>
    <mergeCell ref="D29:E29"/>
    <mergeCell ref="D31:E31"/>
    <mergeCell ref="D32:E32"/>
    <mergeCell ref="D33:E33"/>
    <mergeCell ref="D34:E34"/>
    <mergeCell ref="D30:E30"/>
    <mergeCell ref="D35:E35"/>
    <mergeCell ref="D36:E36"/>
    <mergeCell ref="D37:E37"/>
    <mergeCell ref="K38:L38"/>
    <mergeCell ref="A53:C53"/>
    <mergeCell ref="A41:C41"/>
    <mergeCell ref="A42:C42"/>
    <mergeCell ref="A43:C43"/>
    <mergeCell ref="A44:C44"/>
    <mergeCell ref="A45:C45"/>
    <mergeCell ref="A48:C48"/>
    <mergeCell ref="A49:C49"/>
    <mergeCell ref="A50:C50"/>
    <mergeCell ref="A51:C51"/>
    <mergeCell ref="A52:C52"/>
    <mergeCell ref="D54:E54"/>
    <mergeCell ref="A60:C60"/>
    <mergeCell ref="A61:C61"/>
    <mergeCell ref="A62:C62"/>
    <mergeCell ref="D41:E41"/>
    <mergeCell ref="D42:E42"/>
    <mergeCell ref="D43:E43"/>
    <mergeCell ref="D44:E44"/>
    <mergeCell ref="D45:E45"/>
    <mergeCell ref="D48:E48"/>
    <mergeCell ref="A54:C54"/>
    <mergeCell ref="A55:C55"/>
    <mergeCell ref="A56:C56"/>
    <mergeCell ref="A57:C57"/>
    <mergeCell ref="A58:C58"/>
    <mergeCell ref="A59:C59"/>
    <mergeCell ref="C86:E86"/>
    <mergeCell ref="D61:E61"/>
    <mergeCell ref="A37:C37"/>
    <mergeCell ref="J51:L51"/>
    <mergeCell ref="A47:H47"/>
    <mergeCell ref="D55:E55"/>
    <mergeCell ref="D56:E56"/>
    <mergeCell ref="D57:E57"/>
    <mergeCell ref="D58:E58"/>
    <mergeCell ref="D59:E59"/>
    <mergeCell ref="D60:E60"/>
    <mergeCell ref="D49:E49"/>
    <mergeCell ref="D50:E50"/>
    <mergeCell ref="D51:E51"/>
    <mergeCell ref="D52:E52"/>
    <mergeCell ref="D53:E53"/>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2020-05-08T07:57:15Z</dcterms:created>
  <dcterms:modified xsi:type="dcterms:W3CDTF">2020-05-08T14:48:14Z</dcterms:modified>
</cp:coreProperties>
</file>